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Compare loans" sheetId="2" state="visible" r:id="rId2"/>
    <sheet xmlns:r="http://schemas.openxmlformats.org/officeDocument/2006/relationships" name="Schedule" sheetId="3" state="visible" r:id="rId3"/>
    <sheet xmlns:r="http://schemas.openxmlformats.org/officeDocument/2006/relationships" name="Balloon" sheetId="4" state="visible" r:id="rId4"/>
    <sheet xmlns:r="http://schemas.openxmlformats.org/officeDocument/2006/relationships" name="Card payoff" sheetId="5" state="visible" r:id="rId5"/>
    <sheet xmlns:r="http://schemas.openxmlformats.org/officeDocument/2006/relationships" name="BNPL plans" sheetId="6" state="visible" r:id="rId6"/>
  </sheets>
  <definedNames/>
  <calcPr calcId="124519" fullCalcOnLoad="1"/>
</workbook>
</file>

<file path=xl/styles.xml><?xml version="1.0" encoding="utf-8"?>
<styleSheet xmlns="http://schemas.openxmlformats.org/spreadsheetml/2006/main">
  <numFmts count="2">
    <numFmt numFmtId="164" formatCode="$#,##0.00"/>
    <numFmt numFmtId="165" formatCode="0.0%"/>
  </numFmts>
  <fonts count="4">
    <font>
      <name val="Calibri"/>
      <family val="2"/>
      <color theme="1"/>
      <sz val="11"/>
      <scheme val="minor"/>
    </font>
    <font>
      <b val="1"/>
      <sz val="16"/>
    </font>
    <font>
      <b val="1"/>
      <color rgb="00FFFFFF"/>
    </font>
    <font>
      <b val="1"/>
    </font>
  </fonts>
  <fills count="4">
    <fill>
      <patternFill/>
    </fill>
    <fill>
      <patternFill patternType="gray125"/>
    </fill>
    <fill>
      <patternFill patternType="solid">
        <fgColor rgb="000B0F19"/>
      </patternFill>
    </fill>
    <fill>
      <patternFill patternType="solid">
        <fgColor rgb="00ECFEFF"/>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1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2" borderId="1" applyAlignment="1" pivotButton="0" quotePrefix="0" xfId="0">
      <alignment vertical="top" wrapText="1"/>
    </xf>
    <xf numFmtId="0" fontId="0" fillId="0" borderId="1" applyAlignment="1" pivotButton="0" quotePrefix="0" xfId="0">
      <alignment vertical="top" wrapText="1"/>
    </xf>
    <xf numFmtId="164" fontId="0" fillId="3" borderId="1" applyAlignment="1" pivotButton="0" quotePrefix="0" xfId="0">
      <alignment vertical="top" wrapText="1"/>
    </xf>
    <xf numFmtId="10" fontId="0" fillId="3" borderId="1" applyAlignment="1" pivotButton="0" quotePrefix="0" xfId="0">
      <alignment vertical="top" wrapText="1"/>
    </xf>
    <xf numFmtId="1" fontId="0" fillId="3" borderId="1" applyAlignment="1" pivotButton="0" quotePrefix="0" xfId="0">
      <alignment vertical="top" wrapText="1"/>
    </xf>
    <xf numFmtId="164" fontId="0" fillId="0" borderId="1" applyAlignment="1" pivotButton="0" quotePrefix="0" xfId="0">
      <alignment vertical="top" wrapText="1"/>
    </xf>
    <xf numFmtId="10" fontId="0" fillId="0" borderId="1" applyAlignment="1" pivotButton="0" quotePrefix="0" xfId="0">
      <alignment vertical="top" wrapText="1"/>
    </xf>
    <xf numFmtId="0" fontId="3" fillId="0" borderId="1" applyAlignment="1" pivotButton="0" quotePrefix="0" xfId="0">
      <alignment vertical="top" wrapText="1"/>
    </xf>
    <xf numFmtId="0" fontId="0" fillId="3" borderId="1" applyAlignment="1" pivotButton="0" quotePrefix="0" xfId="0">
      <alignment vertical="top" wrapText="1"/>
    </xf>
    <xf numFmtId="165"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4"/>
  <sheetViews>
    <sheetView workbookViewId="0">
      <selection activeCell="A1" sqref="A1"/>
    </sheetView>
  </sheetViews>
  <sheetFormatPr baseColWidth="8" defaultRowHeight="15"/>
  <cols>
    <col width="120" customWidth="1" min="1" max="1"/>
  </cols>
  <sheetData>
    <row r="1">
      <c r="A1" s="1" t="inlineStr">
        <is>
          <t>Loan and card cost worksheet</t>
        </is>
      </c>
    </row>
    <row r="2">
      <c r="A2" s="2" t="inlineStr">
        <is>
          <t>From the course How loans work: credit cards and buy now, pay later (trainyourself.org/finance/money-admin/how-loans-work/)</t>
        </is>
      </c>
    </row>
    <row r="3">
      <c r="A3" s="2" t="inlineStr"/>
    </row>
    <row r="4">
      <c r="A4" s="2" t="inlineStr">
        <is>
          <t>Compare loans (lesson 2): two offers for the same amount; monthly repayment, total interest and total cost including fees.</t>
        </is>
      </c>
    </row>
    <row r="5">
      <c r="A5" s="2" t="inlineStr">
        <is>
          <t>Schedule (lesson 1): month-by-month repayment schedule for offer A.</t>
        </is>
      </c>
    </row>
    <row r="6">
      <c r="A6" s="2" t="inlineStr">
        <is>
          <t>Balloon (lesson 4): the same car loan with and without a balloon (residual) payment.</t>
        </is>
      </c>
    </row>
    <row r="7">
      <c r="A7" s="2" t="inlineStr">
        <is>
          <t>Card payoff (lesson 3): a card balance paid off at four fixed monthly payments, side by side, with months to clear and total interest.</t>
        </is>
      </c>
    </row>
    <row r="8">
      <c r="A8" s="2" t="inlineStr">
        <is>
          <t>BNPL plans (lesson 5): list every buy now, pay later plan and see the total leaving your account each pay period.</t>
        </is>
      </c>
    </row>
    <row r="9">
      <c r="A9" s="2" t="inlineStr">
        <is>
          <t>Interest is worked out monthly at the yearly rate / 12. Real lenders may calculate daily and add fees, so treat results as estimates.</t>
        </is>
      </c>
    </row>
    <row r="10">
      <c r="A10" s="2" t="inlineStr">
        <is>
          <t>Sample figures are fictional, in USD, and match the course examples. No lender, card or provider is named or recommended.</t>
        </is>
      </c>
    </row>
    <row r="11">
      <c r="A11" s="2" t="inlineStr"/>
    </row>
    <row r="12">
      <c r="A12" s="2" t="inlineStr">
        <is>
          <t>Cells shaded light cyan are for your entries; other cells calculate.</t>
        </is>
      </c>
    </row>
    <row r="13">
      <c r="A13" s="2" t="inlineStr"/>
    </row>
    <row r="14">
      <c r="A14" s="2" t="inlineStr">
        <is>
          <t>trainyourself.org · Version 24 October 2026 · General information only, not financial, credit, tax or legal advice. It doesn’t take into account your objectives, financial situation or needs, and trainyourself.org doesn’t recommend any financial product or provider. Consider getting advice from a licensed professional before you act.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40" customWidth="1" min="1" max="1"/>
    <col width="16" customWidth="1" min="2" max="2"/>
    <col width="16" customWidth="1" min="3" max="3"/>
    <col width="44" customWidth="1" min="4" max="4"/>
  </cols>
  <sheetData>
    <row r="1">
      <c r="A1" s="3" t="inlineStr">
        <is>
          <t>Line</t>
        </is>
      </c>
      <c r="B1" s="3" t="inlineStr">
        <is>
          <t>Offer A</t>
        </is>
      </c>
      <c r="C1" s="3" t="inlineStr">
        <is>
          <t>Offer B</t>
        </is>
      </c>
      <c r="D1" s="3" t="inlineStr">
        <is>
          <t>Note</t>
        </is>
      </c>
    </row>
    <row r="2">
      <c r="A2" s="4" t="inlineStr">
        <is>
          <t>Amount borrowed</t>
        </is>
      </c>
      <c r="B2" s="5" t="n">
        <v>10000</v>
      </c>
      <c r="C2" s="5" t="n">
        <v>10000</v>
      </c>
      <c r="D2" s="4" t="inlineStr"/>
    </row>
    <row r="3">
      <c r="A3" s="4" t="inlineStr">
        <is>
          <t>Interest rate (yearly)</t>
        </is>
      </c>
      <c r="B3" s="6" t="n">
        <v>0.09</v>
      </c>
      <c r="C3" s="6" t="n">
        <v>0.11</v>
      </c>
      <c r="D3" s="4" t="inlineStr"/>
    </row>
    <row r="4">
      <c r="A4" s="4" t="inlineStr">
        <is>
          <t>Term (months)</t>
        </is>
      </c>
      <c r="B4" s="7" t="n">
        <v>36</v>
      </c>
      <c r="C4" s="7" t="n">
        <v>36</v>
      </c>
      <c r="D4" s="4" t="inlineStr"/>
    </row>
    <row r="5">
      <c r="A5" s="4" t="inlineStr">
        <is>
          <t>Upfront fee</t>
        </is>
      </c>
      <c r="B5" s="5" t="n">
        <v>400</v>
      </c>
      <c r="C5" s="5" t="n">
        <v>0</v>
      </c>
      <c r="D5" s="4" t="inlineStr">
        <is>
          <t>Application or establishment fee</t>
        </is>
      </c>
    </row>
    <row r="6">
      <c r="A6" s="4" t="inlineStr">
        <is>
          <t>Other fees over the loan</t>
        </is>
      </c>
      <c r="B6" s="5" t="n">
        <v>0</v>
      </c>
      <c r="C6" s="5" t="n">
        <v>0</v>
      </c>
      <c r="D6" s="4" t="inlineStr">
        <is>
          <t>Monthly or account fees x months</t>
        </is>
      </c>
    </row>
    <row r="7">
      <c r="A7" s="4" t="inlineStr">
        <is>
          <t>Monthly repayment</t>
        </is>
      </c>
      <c r="B7" s="8">
        <f>PMT(B3/12,B4,-B2)</f>
        <v/>
      </c>
      <c r="C7" s="8">
        <f>PMT(C3/12,C4,-C2)</f>
        <v/>
      </c>
      <c r="D7" s="4" t="inlineStr"/>
    </row>
    <row r="8">
      <c r="A8" s="4" t="inlineStr">
        <is>
          <t>Total repaid</t>
        </is>
      </c>
      <c r="B8" s="8">
        <f>B7*B4</f>
        <v/>
      </c>
      <c r="C8" s="8">
        <f>C7*C4</f>
        <v/>
      </c>
      <c r="D8" s="4" t="inlineStr"/>
    </row>
    <row r="9">
      <c r="A9" s="4" t="inlineStr">
        <is>
          <t>Total interest</t>
        </is>
      </c>
      <c r="B9" s="8">
        <f>B8-B2</f>
        <v/>
      </c>
      <c r="C9" s="8">
        <f>C8-C2</f>
        <v/>
      </c>
      <c r="D9" s="4" t="inlineStr"/>
    </row>
    <row r="10">
      <c r="A10" s="4" t="inlineStr">
        <is>
          <t>Total cost (interest + fees)</t>
        </is>
      </c>
      <c r="B10" s="8">
        <f>B9+B5+B6</f>
        <v/>
      </c>
      <c r="C10" s="8">
        <f>C9+C5+C6</f>
        <v/>
      </c>
      <c r="D10" s="4" t="inlineStr">
        <is>
          <t>Compare this line</t>
        </is>
      </c>
    </row>
    <row r="11">
      <c r="A11" s="4" t="inlineStr">
        <is>
          <t>Rate including upfront fee (APR-style)</t>
        </is>
      </c>
      <c r="B11" s="9">
        <f>RATE(B4,-B7,B2-B5)*12</f>
        <v/>
      </c>
      <c r="C11" s="9">
        <f>RATE(C4,-C7,C2-C5)*12</f>
        <v/>
      </c>
      <c r="D11" s="4" t="inlineStr">
        <is>
          <t>Worked on the amount actually received</t>
        </is>
      </c>
    </row>
    <row r="12">
      <c r="A12" s="4" t="inlineStr">
        <is>
          <t>Cheaper overall</t>
        </is>
      </c>
      <c r="B12" s="4">
        <f>IF(B10&lt;C10,"Offer A",IF(C10&lt;B10,"Offer B","Same"))</f>
        <v/>
      </c>
      <c r="C12" s="4" t="n"/>
      <c r="D12" s="4" t="inlineStr"/>
    </row>
    <row r="13">
      <c r="A13" s="4" t="inlineStr">
        <is>
          <t>Your monthly budget for this repayment</t>
        </is>
      </c>
      <c r="B13" s="5" t="n">
        <v>450</v>
      </c>
      <c r="C13" s="5" t="n"/>
      <c r="D13" s="4" t="inlineStr"/>
    </row>
    <row r="14">
      <c r="A14" s="4" t="inlineStr">
        <is>
          <t>Room left with offer A / B</t>
        </is>
      </c>
      <c r="B14" s="8">
        <f>B13-B7</f>
        <v/>
      </c>
      <c r="C14" s="8">
        <f>B13-C7</f>
        <v/>
      </c>
      <c r="D14" s="4" t="inlineStr">
        <is>
          <t>Still positive if income fell 10%?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63"/>
  <sheetViews>
    <sheetView workbookViewId="0">
      <selection activeCell="A1" sqref="A1"/>
    </sheetView>
  </sheetViews>
  <sheetFormatPr baseColWidth="8" defaultRowHeight="15"/>
  <cols>
    <col width="8" customWidth="1" min="1" max="1"/>
    <col width="16" customWidth="1" min="2" max="2"/>
    <col width="14" customWidth="1" min="3" max="3"/>
    <col width="14" customWidth="1" min="4" max="4"/>
    <col width="16" customWidth="1" min="5" max="5"/>
    <col width="16" customWidth="1" min="6" max="6"/>
  </cols>
  <sheetData>
    <row r="1">
      <c r="A1" s="3" t="inlineStr">
        <is>
          <t>Month</t>
        </is>
      </c>
      <c r="B1" s="3" t="inlineStr">
        <is>
          <t>Opening balance</t>
        </is>
      </c>
      <c r="C1" s="3" t="inlineStr">
        <is>
          <t>Interest</t>
        </is>
      </c>
      <c r="D1" s="3" t="inlineStr">
        <is>
          <t>Repayment</t>
        </is>
      </c>
      <c r="E1" s="3" t="inlineStr">
        <is>
          <t>Principal repaid</t>
        </is>
      </c>
      <c r="F1" s="3" t="inlineStr">
        <is>
          <t>Closing balance</t>
        </is>
      </c>
    </row>
    <row r="2">
      <c r="A2" s="4" t="n">
        <v>1</v>
      </c>
      <c r="B2" s="8">
        <f>'Compare loans'!B2</f>
        <v/>
      </c>
      <c r="C2" s="8">
        <f>IF(1&gt;'Compare loans'!$B$4,0,B2*'Compare loans'!$B$3/12)</f>
        <v/>
      </c>
      <c r="D2" s="8">
        <f>IF(1&gt;'Compare loans'!$B$4,0,MIN('Compare loans'!$B$7,B2+C2))</f>
        <v/>
      </c>
      <c r="E2" s="8">
        <f>D2-C2</f>
        <v/>
      </c>
      <c r="F2" s="8">
        <f>ROUND(B2+C2-D2,6)</f>
        <v/>
      </c>
    </row>
    <row r="3">
      <c r="A3" s="4" t="n">
        <v>2</v>
      </c>
      <c r="B3" s="8">
        <f>F2</f>
        <v/>
      </c>
      <c r="C3" s="8">
        <f>IF(2&gt;'Compare loans'!$B$4,0,B3*'Compare loans'!$B$3/12)</f>
        <v/>
      </c>
      <c r="D3" s="8">
        <f>IF(2&gt;'Compare loans'!$B$4,0,MIN('Compare loans'!$B$7,B3+C3))</f>
        <v/>
      </c>
      <c r="E3" s="8">
        <f>D3-C3</f>
        <v/>
      </c>
      <c r="F3" s="8">
        <f>ROUND(B3+C3-D3,6)</f>
        <v/>
      </c>
    </row>
    <row r="4">
      <c r="A4" s="4" t="n">
        <v>3</v>
      </c>
      <c r="B4" s="8">
        <f>F3</f>
        <v/>
      </c>
      <c r="C4" s="8">
        <f>IF(3&gt;'Compare loans'!$B$4,0,B4*'Compare loans'!$B$3/12)</f>
        <v/>
      </c>
      <c r="D4" s="8">
        <f>IF(3&gt;'Compare loans'!$B$4,0,MIN('Compare loans'!$B$7,B4+C4))</f>
        <v/>
      </c>
      <c r="E4" s="8">
        <f>D4-C4</f>
        <v/>
      </c>
      <c r="F4" s="8">
        <f>ROUND(B4+C4-D4,6)</f>
        <v/>
      </c>
    </row>
    <row r="5">
      <c r="A5" s="4" t="n">
        <v>4</v>
      </c>
      <c r="B5" s="8">
        <f>F4</f>
        <v/>
      </c>
      <c r="C5" s="8">
        <f>IF(4&gt;'Compare loans'!$B$4,0,B5*'Compare loans'!$B$3/12)</f>
        <v/>
      </c>
      <c r="D5" s="8">
        <f>IF(4&gt;'Compare loans'!$B$4,0,MIN('Compare loans'!$B$7,B5+C5))</f>
        <v/>
      </c>
      <c r="E5" s="8">
        <f>D5-C5</f>
        <v/>
      </c>
      <c r="F5" s="8">
        <f>ROUND(B5+C5-D5,6)</f>
        <v/>
      </c>
    </row>
    <row r="6">
      <c r="A6" s="4" t="n">
        <v>5</v>
      </c>
      <c r="B6" s="8">
        <f>F5</f>
        <v/>
      </c>
      <c r="C6" s="8">
        <f>IF(5&gt;'Compare loans'!$B$4,0,B6*'Compare loans'!$B$3/12)</f>
        <v/>
      </c>
      <c r="D6" s="8">
        <f>IF(5&gt;'Compare loans'!$B$4,0,MIN('Compare loans'!$B$7,B6+C6))</f>
        <v/>
      </c>
      <c r="E6" s="8">
        <f>D6-C6</f>
        <v/>
      </c>
      <c r="F6" s="8">
        <f>ROUND(B6+C6-D6,6)</f>
        <v/>
      </c>
    </row>
    <row r="7">
      <c r="A7" s="4" t="n">
        <v>6</v>
      </c>
      <c r="B7" s="8">
        <f>F6</f>
        <v/>
      </c>
      <c r="C7" s="8">
        <f>IF(6&gt;'Compare loans'!$B$4,0,B7*'Compare loans'!$B$3/12)</f>
        <v/>
      </c>
      <c r="D7" s="8">
        <f>IF(6&gt;'Compare loans'!$B$4,0,MIN('Compare loans'!$B$7,B7+C7))</f>
        <v/>
      </c>
      <c r="E7" s="8">
        <f>D7-C7</f>
        <v/>
      </c>
      <c r="F7" s="8">
        <f>ROUND(B7+C7-D7,6)</f>
        <v/>
      </c>
    </row>
    <row r="8">
      <c r="A8" s="4" t="n">
        <v>7</v>
      </c>
      <c r="B8" s="8">
        <f>F7</f>
        <v/>
      </c>
      <c r="C8" s="8">
        <f>IF(7&gt;'Compare loans'!$B$4,0,B8*'Compare loans'!$B$3/12)</f>
        <v/>
      </c>
      <c r="D8" s="8">
        <f>IF(7&gt;'Compare loans'!$B$4,0,MIN('Compare loans'!$B$7,B8+C8))</f>
        <v/>
      </c>
      <c r="E8" s="8">
        <f>D8-C8</f>
        <v/>
      </c>
      <c r="F8" s="8">
        <f>ROUND(B8+C8-D8,6)</f>
        <v/>
      </c>
    </row>
    <row r="9">
      <c r="A9" s="4" t="n">
        <v>8</v>
      </c>
      <c r="B9" s="8">
        <f>F8</f>
        <v/>
      </c>
      <c r="C9" s="8">
        <f>IF(8&gt;'Compare loans'!$B$4,0,B9*'Compare loans'!$B$3/12)</f>
        <v/>
      </c>
      <c r="D9" s="8">
        <f>IF(8&gt;'Compare loans'!$B$4,0,MIN('Compare loans'!$B$7,B9+C9))</f>
        <v/>
      </c>
      <c r="E9" s="8">
        <f>D9-C9</f>
        <v/>
      </c>
      <c r="F9" s="8">
        <f>ROUND(B9+C9-D9,6)</f>
        <v/>
      </c>
    </row>
    <row r="10">
      <c r="A10" s="4" t="n">
        <v>9</v>
      </c>
      <c r="B10" s="8">
        <f>F9</f>
        <v/>
      </c>
      <c r="C10" s="8">
        <f>IF(9&gt;'Compare loans'!$B$4,0,B10*'Compare loans'!$B$3/12)</f>
        <v/>
      </c>
      <c r="D10" s="8">
        <f>IF(9&gt;'Compare loans'!$B$4,0,MIN('Compare loans'!$B$7,B10+C10))</f>
        <v/>
      </c>
      <c r="E10" s="8">
        <f>D10-C10</f>
        <v/>
      </c>
      <c r="F10" s="8">
        <f>ROUND(B10+C10-D10,6)</f>
        <v/>
      </c>
    </row>
    <row r="11">
      <c r="A11" s="4" t="n">
        <v>10</v>
      </c>
      <c r="B11" s="8">
        <f>F10</f>
        <v/>
      </c>
      <c r="C11" s="8">
        <f>IF(10&gt;'Compare loans'!$B$4,0,B11*'Compare loans'!$B$3/12)</f>
        <v/>
      </c>
      <c r="D11" s="8">
        <f>IF(10&gt;'Compare loans'!$B$4,0,MIN('Compare loans'!$B$7,B11+C11))</f>
        <v/>
      </c>
      <c r="E11" s="8">
        <f>D11-C11</f>
        <v/>
      </c>
      <c r="F11" s="8">
        <f>ROUND(B11+C11-D11,6)</f>
        <v/>
      </c>
    </row>
    <row r="12">
      <c r="A12" s="4" t="n">
        <v>11</v>
      </c>
      <c r="B12" s="8">
        <f>F11</f>
        <v/>
      </c>
      <c r="C12" s="8">
        <f>IF(11&gt;'Compare loans'!$B$4,0,B12*'Compare loans'!$B$3/12)</f>
        <v/>
      </c>
      <c r="D12" s="8">
        <f>IF(11&gt;'Compare loans'!$B$4,0,MIN('Compare loans'!$B$7,B12+C12))</f>
        <v/>
      </c>
      <c r="E12" s="8">
        <f>D12-C12</f>
        <v/>
      </c>
      <c r="F12" s="8">
        <f>ROUND(B12+C12-D12,6)</f>
        <v/>
      </c>
    </row>
    <row r="13">
      <c r="A13" s="4" t="n">
        <v>12</v>
      </c>
      <c r="B13" s="8">
        <f>F12</f>
        <v/>
      </c>
      <c r="C13" s="8">
        <f>IF(12&gt;'Compare loans'!$B$4,0,B13*'Compare loans'!$B$3/12)</f>
        <v/>
      </c>
      <c r="D13" s="8">
        <f>IF(12&gt;'Compare loans'!$B$4,0,MIN('Compare loans'!$B$7,B13+C13))</f>
        <v/>
      </c>
      <c r="E13" s="8">
        <f>D13-C13</f>
        <v/>
      </c>
      <c r="F13" s="8">
        <f>ROUND(B13+C13-D13,6)</f>
        <v/>
      </c>
    </row>
    <row r="14">
      <c r="A14" s="4" t="n">
        <v>13</v>
      </c>
      <c r="B14" s="8">
        <f>F13</f>
        <v/>
      </c>
      <c r="C14" s="8">
        <f>IF(13&gt;'Compare loans'!$B$4,0,B14*'Compare loans'!$B$3/12)</f>
        <v/>
      </c>
      <c r="D14" s="8">
        <f>IF(13&gt;'Compare loans'!$B$4,0,MIN('Compare loans'!$B$7,B14+C14))</f>
        <v/>
      </c>
      <c r="E14" s="8">
        <f>D14-C14</f>
        <v/>
      </c>
      <c r="F14" s="8">
        <f>ROUND(B14+C14-D14,6)</f>
        <v/>
      </c>
    </row>
    <row r="15">
      <c r="A15" s="4" t="n">
        <v>14</v>
      </c>
      <c r="B15" s="8">
        <f>F14</f>
        <v/>
      </c>
      <c r="C15" s="8">
        <f>IF(14&gt;'Compare loans'!$B$4,0,B15*'Compare loans'!$B$3/12)</f>
        <v/>
      </c>
      <c r="D15" s="8">
        <f>IF(14&gt;'Compare loans'!$B$4,0,MIN('Compare loans'!$B$7,B15+C15))</f>
        <v/>
      </c>
      <c r="E15" s="8">
        <f>D15-C15</f>
        <v/>
      </c>
      <c r="F15" s="8">
        <f>ROUND(B15+C15-D15,6)</f>
        <v/>
      </c>
    </row>
    <row r="16">
      <c r="A16" s="4" t="n">
        <v>15</v>
      </c>
      <c r="B16" s="8">
        <f>F15</f>
        <v/>
      </c>
      <c r="C16" s="8">
        <f>IF(15&gt;'Compare loans'!$B$4,0,B16*'Compare loans'!$B$3/12)</f>
        <v/>
      </c>
      <c r="D16" s="8">
        <f>IF(15&gt;'Compare loans'!$B$4,0,MIN('Compare loans'!$B$7,B16+C16))</f>
        <v/>
      </c>
      <c r="E16" s="8">
        <f>D16-C16</f>
        <v/>
      </c>
      <c r="F16" s="8">
        <f>ROUND(B16+C16-D16,6)</f>
        <v/>
      </c>
    </row>
    <row r="17">
      <c r="A17" s="4" t="n">
        <v>16</v>
      </c>
      <c r="B17" s="8">
        <f>F16</f>
        <v/>
      </c>
      <c r="C17" s="8">
        <f>IF(16&gt;'Compare loans'!$B$4,0,B17*'Compare loans'!$B$3/12)</f>
        <v/>
      </c>
      <c r="D17" s="8">
        <f>IF(16&gt;'Compare loans'!$B$4,0,MIN('Compare loans'!$B$7,B17+C17))</f>
        <v/>
      </c>
      <c r="E17" s="8">
        <f>D17-C17</f>
        <v/>
      </c>
      <c r="F17" s="8">
        <f>ROUND(B17+C17-D17,6)</f>
        <v/>
      </c>
    </row>
    <row r="18">
      <c r="A18" s="4" t="n">
        <v>17</v>
      </c>
      <c r="B18" s="8">
        <f>F17</f>
        <v/>
      </c>
      <c r="C18" s="8">
        <f>IF(17&gt;'Compare loans'!$B$4,0,B18*'Compare loans'!$B$3/12)</f>
        <v/>
      </c>
      <c r="D18" s="8">
        <f>IF(17&gt;'Compare loans'!$B$4,0,MIN('Compare loans'!$B$7,B18+C18))</f>
        <v/>
      </c>
      <c r="E18" s="8">
        <f>D18-C18</f>
        <v/>
      </c>
      <c r="F18" s="8">
        <f>ROUND(B18+C18-D18,6)</f>
        <v/>
      </c>
    </row>
    <row r="19">
      <c r="A19" s="4" t="n">
        <v>18</v>
      </c>
      <c r="B19" s="8">
        <f>F18</f>
        <v/>
      </c>
      <c r="C19" s="8">
        <f>IF(18&gt;'Compare loans'!$B$4,0,B19*'Compare loans'!$B$3/12)</f>
        <v/>
      </c>
      <c r="D19" s="8">
        <f>IF(18&gt;'Compare loans'!$B$4,0,MIN('Compare loans'!$B$7,B19+C19))</f>
        <v/>
      </c>
      <c r="E19" s="8">
        <f>D19-C19</f>
        <v/>
      </c>
      <c r="F19" s="8">
        <f>ROUND(B19+C19-D19,6)</f>
        <v/>
      </c>
    </row>
    <row r="20">
      <c r="A20" s="4" t="n">
        <v>19</v>
      </c>
      <c r="B20" s="8">
        <f>F19</f>
        <v/>
      </c>
      <c r="C20" s="8">
        <f>IF(19&gt;'Compare loans'!$B$4,0,B20*'Compare loans'!$B$3/12)</f>
        <v/>
      </c>
      <c r="D20" s="8">
        <f>IF(19&gt;'Compare loans'!$B$4,0,MIN('Compare loans'!$B$7,B20+C20))</f>
        <v/>
      </c>
      <c r="E20" s="8">
        <f>D20-C20</f>
        <v/>
      </c>
      <c r="F20" s="8">
        <f>ROUND(B20+C20-D20,6)</f>
        <v/>
      </c>
    </row>
    <row r="21">
      <c r="A21" s="4" t="n">
        <v>20</v>
      </c>
      <c r="B21" s="8">
        <f>F20</f>
        <v/>
      </c>
      <c r="C21" s="8">
        <f>IF(20&gt;'Compare loans'!$B$4,0,B21*'Compare loans'!$B$3/12)</f>
        <v/>
      </c>
      <c r="D21" s="8">
        <f>IF(20&gt;'Compare loans'!$B$4,0,MIN('Compare loans'!$B$7,B21+C21))</f>
        <v/>
      </c>
      <c r="E21" s="8">
        <f>D21-C21</f>
        <v/>
      </c>
      <c r="F21" s="8">
        <f>ROUND(B21+C21-D21,6)</f>
        <v/>
      </c>
    </row>
    <row r="22">
      <c r="A22" s="4" t="n">
        <v>21</v>
      </c>
      <c r="B22" s="8">
        <f>F21</f>
        <v/>
      </c>
      <c r="C22" s="8">
        <f>IF(21&gt;'Compare loans'!$B$4,0,B22*'Compare loans'!$B$3/12)</f>
        <v/>
      </c>
      <c r="D22" s="8">
        <f>IF(21&gt;'Compare loans'!$B$4,0,MIN('Compare loans'!$B$7,B22+C22))</f>
        <v/>
      </c>
      <c r="E22" s="8">
        <f>D22-C22</f>
        <v/>
      </c>
      <c r="F22" s="8">
        <f>ROUND(B22+C22-D22,6)</f>
        <v/>
      </c>
    </row>
    <row r="23">
      <c r="A23" s="4" t="n">
        <v>22</v>
      </c>
      <c r="B23" s="8">
        <f>F22</f>
        <v/>
      </c>
      <c r="C23" s="8">
        <f>IF(22&gt;'Compare loans'!$B$4,0,B23*'Compare loans'!$B$3/12)</f>
        <v/>
      </c>
      <c r="D23" s="8">
        <f>IF(22&gt;'Compare loans'!$B$4,0,MIN('Compare loans'!$B$7,B23+C23))</f>
        <v/>
      </c>
      <c r="E23" s="8">
        <f>D23-C23</f>
        <v/>
      </c>
      <c r="F23" s="8">
        <f>ROUND(B23+C23-D23,6)</f>
        <v/>
      </c>
    </row>
    <row r="24">
      <c r="A24" s="4" t="n">
        <v>23</v>
      </c>
      <c r="B24" s="8">
        <f>F23</f>
        <v/>
      </c>
      <c r="C24" s="8">
        <f>IF(23&gt;'Compare loans'!$B$4,0,B24*'Compare loans'!$B$3/12)</f>
        <v/>
      </c>
      <c r="D24" s="8">
        <f>IF(23&gt;'Compare loans'!$B$4,0,MIN('Compare loans'!$B$7,B24+C24))</f>
        <v/>
      </c>
      <c r="E24" s="8">
        <f>D24-C24</f>
        <v/>
      </c>
      <c r="F24" s="8">
        <f>ROUND(B24+C24-D24,6)</f>
        <v/>
      </c>
    </row>
    <row r="25">
      <c r="A25" s="4" t="n">
        <v>24</v>
      </c>
      <c r="B25" s="8">
        <f>F24</f>
        <v/>
      </c>
      <c r="C25" s="8">
        <f>IF(24&gt;'Compare loans'!$B$4,0,B25*'Compare loans'!$B$3/12)</f>
        <v/>
      </c>
      <c r="D25" s="8">
        <f>IF(24&gt;'Compare loans'!$B$4,0,MIN('Compare loans'!$B$7,B25+C25))</f>
        <v/>
      </c>
      <c r="E25" s="8">
        <f>D25-C25</f>
        <v/>
      </c>
      <c r="F25" s="8">
        <f>ROUND(B25+C25-D25,6)</f>
        <v/>
      </c>
    </row>
    <row r="26">
      <c r="A26" s="4" t="n">
        <v>25</v>
      </c>
      <c r="B26" s="8">
        <f>F25</f>
        <v/>
      </c>
      <c r="C26" s="8">
        <f>IF(25&gt;'Compare loans'!$B$4,0,B26*'Compare loans'!$B$3/12)</f>
        <v/>
      </c>
      <c r="D26" s="8">
        <f>IF(25&gt;'Compare loans'!$B$4,0,MIN('Compare loans'!$B$7,B26+C26))</f>
        <v/>
      </c>
      <c r="E26" s="8">
        <f>D26-C26</f>
        <v/>
      </c>
      <c r="F26" s="8">
        <f>ROUND(B26+C26-D26,6)</f>
        <v/>
      </c>
    </row>
    <row r="27">
      <c r="A27" s="4" t="n">
        <v>26</v>
      </c>
      <c r="B27" s="8">
        <f>F26</f>
        <v/>
      </c>
      <c r="C27" s="8">
        <f>IF(26&gt;'Compare loans'!$B$4,0,B27*'Compare loans'!$B$3/12)</f>
        <v/>
      </c>
      <c r="D27" s="8">
        <f>IF(26&gt;'Compare loans'!$B$4,0,MIN('Compare loans'!$B$7,B27+C27))</f>
        <v/>
      </c>
      <c r="E27" s="8">
        <f>D27-C27</f>
        <v/>
      </c>
      <c r="F27" s="8">
        <f>ROUND(B27+C27-D27,6)</f>
        <v/>
      </c>
    </row>
    <row r="28">
      <c r="A28" s="4" t="n">
        <v>27</v>
      </c>
      <c r="B28" s="8">
        <f>F27</f>
        <v/>
      </c>
      <c r="C28" s="8">
        <f>IF(27&gt;'Compare loans'!$B$4,0,B28*'Compare loans'!$B$3/12)</f>
        <v/>
      </c>
      <c r="D28" s="8">
        <f>IF(27&gt;'Compare loans'!$B$4,0,MIN('Compare loans'!$B$7,B28+C28))</f>
        <v/>
      </c>
      <c r="E28" s="8">
        <f>D28-C28</f>
        <v/>
      </c>
      <c r="F28" s="8">
        <f>ROUND(B28+C28-D28,6)</f>
        <v/>
      </c>
    </row>
    <row r="29">
      <c r="A29" s="4" t="n">
        <v>28</v>
      </c>
      <c r="B29" s="8">
        <f>F28</f>
        <v/>
      </c>
      <c r="C29" s="8">
        <f>IF(28&gt;'Compare loans'!$B$4,0,B29*'Compare loans'!$B$3/12)</f>
        <v/>
      </c>
      <c r="D29" s="8">
        <f>IF(28&gt;'Compare loans'!$B$4,0,MIN('Compare loans'!$B$7,B29+C29))</f>
        <v/>
      </c>
      <c r="E29" s="8">
        <f>D29-C29</f>
        <v/>
      </c>
      <c r="F29" s="8">
        <f>ROUND(B29+C29-D29,6)</f>
        <v/>
      </c>
    </row>
    <row r="30">
      <c r="A30" s="4" t="n">
        <v>29</v>
      </c>
      <c r="B30" s="8">
        <f>F29</f>
        <v/>
      </c>
      <c r="C30" s="8">
        <f>IF(29&gt;'Compare loans'!$B$4,0,B30*'Compare loans'!$B$3/12)</f>
        <v/>
      </c>
      <c r="D30" s="8">
        <f>IF(29&gt;'Compare loans'!$B$4,0,MIN('Compare loans'!$B$7,B30+C30))</f>
        <v/>
      </c>
      <c r="E30" s="8">
        <f>D30-C30</f>
        <v/>
      </c>
      <c r="F30" s="8">
        <f>ROUND(B30+C30-D30,6)</f>
        <v/>
      </c>
    </row>
    <row r="31">
      <c r="A31" s="4" t="n">
        <v>30</v>
      </c>
      <c r="B31" s="8">
        <f>F30</f>
        <v/>
      </c>
      <c r="C31" s="8">
        <f>IF(30&gt;'Compare loans'!$B$4,0,B31*'Compare loans'!$B$3/12)</f>
        <v/>
      </c>
      <c r="D31" s="8">
        <f>IF(30&gt;'Compare loans'!$B$4,0,MIN('Compare loans'!$B$7,B31+C31))</f>
        <v/>
      </c>
      <c r="E31" s="8">
        <f>D31-C31</f>
        <v/>
      </c>
      <c r="F31" s="8">
        <f>ROUND(B31+C31-D31,6)</f>
        <v/>
      </c>
    </row>
    <row r="32">
      <c r="A32" s="4" t="n">
        <v>31</v>
      </c>
      <c r="B32" s="8">
        <f>F31</f>
        <v/>
      </c>
      <c r="C32" s="8">
        <f>IF(31&gt;'Compare loans'!$B$4,0,B32*'Compare loans'!$B$3/12)</f>
        <v/>
      </c>
      <c r="D32" s="8">
        <f>IF(31&gt;'Compare loans'!$B$4,0,MIN('Compare loans'!$B$7,B32+C32))</f>
        <v/>
      </c>
      <c r="E32" s="8">
        <f>D32-C32</f>
        <v/>
      </c>
      <c r="F32" s="8">
        <f>ROUND(B32+C32-D32,6)</f>
        <v/>
      </c>
    </row>
    <row r="33">
      <c r="A33" s="4" t="n">
        <v>32</v>
      </c>
      <c r="B33" s="8">
        <f>F32</f>
        <v/>
      </c>
      <c r="C33" s="8">
        <f>IF(32&gt;'Compare loans'!$B$4,0,B33*'Compare loans'!$B$3/12)</f>
        <v/>
      </c>
      <c r="D33" s="8">
        <f>IF(32&gt;'Compare loans'!$B$4,0,MIN('Compare loans'!$B$7,B33+C33))</f>
        <v/>
      </c>
      <c r="E33" s="8">
        <f>D33-C33</f>
        <v/>
      </c>
      <c r="F33" s="8">
        <f>ROUND(B33+C33-D33,6)</f>
        <v/>
      </c>
    </row>
    <row r="34">
      <c r="A34" s="4" t="n">
        <v>33</v>
      </c>
      <c r="B34" s="8">
        <f>F33</f>
        <v/>
      </c>
      <c r="C34" s="8">
        <f>IF(33&gt;'Compare loans'!$B$4,0,B34*'Compare loans'!$B$3/12)</f>
        <v/>
      </c>
      <c r="D34" s="8">
        <f>IF(33&gt;'Compare loans'!$B$4,0,MIN('Compare loans'!$B$7,B34+C34))</f>
        <v/>
      </c>
      <c r="E34" s="8">
        <f>D34-C34</f>
        <v/>
      </c>
      <c r="F34" s="8">
        <f>ROUND(B34+C34-D34,6)</f>
        <v/>
      </c>
    </row>
    <row r="35">
      <c r="A35" s="4" t="n">
        <v>34</v>
      </c>
      <c r="B35" s="8">
        <f>F34</f>
        <v/>
      </c>
      <c r="C35" s="8">
        <f>IF(34&gt;'Compare loans'!$B$4,0,B35*'Compare loans'!$B$3/12)</f>
        <v/>
      </c>
      <c r="D35" s="8">
        <f>IF(34&gt;'Compare loans'!$B$4,0,MIN('Compare loans'!$B$7,B35+C35))</f>
        <v/>
      </c>
      <c r="E35" s="8">
        <f>D35-C35</f>
        <v/>
      </c>
      <c r="F35" s="8">
        <f>ROUND(B35+C35-D35,6)</f>
        <v/>
      </c>
    </row>
    <row r="36">
      <c r="A36" s="4" t="n">
        <v>35</v>
      </c>
      <c r="B36" s="8">
        <f>F35</f>
        <v/>
      </c>
      <c r="C36" s="8">
        <f>IF(35&gt;'Compare loans'!$B$4,0,B36*'Compare loans'!$B$3/12)</f>
        <v/>
      </c>
      <c r="D36" s="8">
        <f>IF(35&gt;'Compare loans'!$B$4,0,MIN('Compare loans'!$B$7,B36+C36))</f>
        <v/>
      </c>
      <c r="E36" s="8">
        <f>D36-C36</f>
        <v/>
      </c>
      <c r="F36" s="8">
        <f>ROUND(B36+C36-D36,6)</f>
        <v/>
      </c>
    </row>
    <row r="37">
      <c r="A37" s="4" t="n">
        <v>36</v>
      </c>
      <c r="B37" s="8">
        <f>F36</f>
        <v/>
      </c>
      <c r="C37" s="8">
        <f>IF(36&gt;'Compare loans'!$B$4,0,B37*'Compare loans'!$B$3/12)</f>
        <v/>
      </c>
      <c r="D37" s="8">
        <f>IF(36&gt;'Compare loans'!$B$4,0,MIN('Compare loans'!$B$7,B37+C37))</f>
        <v/>
      </c>
      <c r="E37" s="8">
        <f>D37-C37</f>
        <v/>
      </c>
      <c r="F37" s="8">
        <f>ROUND(B37+C37-D37,6)</f>
        <v/>
      </c>
    </row>
    <row r="38">
      <c r="A38" s="4" t="n">
        <v>37</v>
      </c>
      <c r="B38" s="8">
        <f>F37</f>
        <v/>
      </c>
      <c r="C38" s="8">
        <f>IF(37&gt;'Compare loans'!$B$4,0,B38*'Compare loans'!$B$3/12)</f>
        <v/>
      </c>
      <c r="D38" s="8">
        <f>IF(37&gt;'Compare loans'!$B$4,0,MIN('Compare loans'!$B$7,B38+C38))</f>
        <v/>
      </c>
      <c r="E38" s="8">
        <f>D38-C38</f>
        <v/>
      </c>
      <c r="F38" s="8">
        <f>ROUND(B38+C38-D38,6)</f>
        <v/>
      </c>
    </row>
    <row r="39">
      <c r="A39" s="4" t="n">
        <v>38</v>
      </c>
      <c r="B39" s="8">
        <f>F38</f>
        <v/>
      </c>
      <c r="C39" s="8">
        <f>IF(38&gt;'Compare loans'!$B$4,0,B39*'Compare loans'!$B$3/12)</f>
        <v/>
      </c>
      <c r="D39" s="8">
        <f>IF(38&gt;'Compare loans'!$B$4,0,MIN('Compare loans'!$B$7,B39+C39))</f>
        <v/>
      </c>
      <c r="E39" s="8">
        <f>D39-C39</f>
        <v/>
      </c>
      <c r="F39" s="8">
        <f>ROUND(B39+C39-D39,6)</f>
        <v/>
      </c>
    </row>
    <row r="40">
      <c r="A40" s="4" t="n">
        <v>39</v>
      </c>
      <c r="B40" s="8">
        <f>F39</f>
        <v/>
      </c>
      <c r="C40" s="8">
        <f>IF(39&gt;'Compare loans'!$B$4,0,B40*'Compare loans'!$B$3/12)</f>
        <v/>
      </c>
      <c r="D40" s="8">
        <f>IF(39&gt;'Compare loans'!$B$4,0,MIN('Compare loans'!$B$7,B40+C40))</f>
        <v/>
      </c>
      <c r="E40" s="8">
        <f>D40-C40</f>
        <v/>
      </c>
      <c r="F40" s="8">
        <f>ROUND(B40+C40-D40,6)</f>
        <v/>
      </c>
    </row>
    <row r="41">
      <c r="A41" s="4" t="n">
        <v>40</v>
      </c>
      <c r="B41" s="8">
        <f>F40</f>
        <v/>
      </c>
      <c r="C41" s="8">
        <f>IF(40&gt;'Compare loans'!$B$4,0,B41*'Compare loans'!$B$3/12)</f>
        <v/>
      </c>
      <c r="D41" s="8">
        <f>IF(40&gt;'Compare loans'!$B$4,0,MIN('Compare loans'!$B$7,B41+C41))</f>
        <v/>
      </c>
      <c r="E41" s="8">
        <f>D41-C41</f>
        <v/>
      </c>
      <c r="F41" s="8">
        <f>ROUND(B41+C41-D41,6)</f>
        <v/>
      </c>
    </row>
    <row r="42">
      <c r="A42" s="4" t="n">
        <v>41</v>
      </c>
      <c r="B42" s="8">
        <f>F41</f>
        <v/>
      </c>
      <c r="C42" s="8">
        <f>IF(41&gt;'Compare loans'!$B$4,0,B42*'Compare loans'!$B$3/12)</f>
        <v/>
      </c>
      <c r="D42" s="8">
        <f>IF(41&gt;'Compare loans'!$B$4,0,MIN('Compare loans'!$B$7,B42+C42))</f>
        <v/>
      </c>
      <c r="E42" s="8">
        <f>D42-C42</f>
        <v/>
      </c>
      <c r="F42" s="8">
        <f>ROUND(B42+C42-D42,6)</f>
        <v/>
      </c>
    </row>
    <row r="43">
      <c r="A43" s="4" t="n">
        <v>42</v>
      </c>
      <c r="B43" s="8">
        <f>F42</f>
        <v/>
      </c>
      <c r="C43" s="8">
        <f>IF(42&gt;'Compare loans'!$B$4,0,B43*'Compare loans'!$B$3/12)</f>
        <v/>
      </c>
      <c r="D43" s="8">
        <f>IF(42&gt;'Compare loans'!$B$4,0,MIN('Compare loans'!$B$7,B43+C43))</f>
        <v/>
      </c>
      <c r="E43" s="8">
        <f>D43-C43</f>
        <v/>
      </c>
      <c r="F43" s="8">
        <f>ROUND(B43+C43-D43,6)</f>
        <v/>
      </c>
    </row>
    <row r="44">
      <c r="A44" s="4" t="n">
        <v>43</v>
      </c>
      <c r="B44" s="8">
        <f>F43</f>
        <v/>
      </c>
      <c r="C44" s="8">
        <f>IF(43&gt;'Compare loans'!$B$4,0,B44*'Compare loans'!$B$3/12)</f>
        <v/>
      </c>
      <c r="D44" s="8">
        <f>IF(43&gt;'Compare loans'!$B$4,0,MIN('Compare loans'!$B$7,B44+C44))</f>
        <v/>
      </c>
      <c r="E44" s="8">
        <f>D44-C44</f>
        <v/>
      </c>
      <c r="F44" s="8">
        <f>ROUND(B44+C44-D44,6)</f>
        <v/>
      </c>
    </row>
    <row r="45">
      <c r="A45" s="4" t="n">
        <v>44</v>
      </c>
      <c r="B45" s="8">
        <f>F44</f>
        <v/>
      </c>
      <c r="C45" s="8">
        <f>IF(44&gt;'Compare loans'!$B$4,0,B45*'Compare loans'!$B$3/12)</f>
        <v/>
      </c>
      <c r="D45" s="8">
        <f>IF(44&gt;'Compare loans'!$B$4,0,MIN('Compare loans'!$B$7,B45+C45))</f>
        <v/>
      </c>
      <c r="E45" s="8">
        <f>D45-C45</f>
        <v/>
      </c>
      <c r="F45" s="8">
        <f>ROUND(B45+C45-D45,6)</f>
        <v/>
      </c>
    </row>
    <row r="46">
      <c r="A46" s="4" t="n">
        <v>45</v>
      </c>
      <c r="B46" s="8">
        <f>F45</f>
        <v/>
      </c>
      <c r="C46" s="8">
        <f>IF(45&gt;'Compare loans'!$B$4,0,B46*'Compare loans'!$B$3/12)</f>
        <v/>
      </c>
      <c r="D46" s="8">
        <f>IF(45&gt;'Compare loans'!$B$4,0,MIN('Compare loans'!$B$7,B46+C46))</f>
        <v/>
      </c>
      <c r="E46" s="8">
        <f>D46-C46</f>
        <v/>
      </c>
      <c r="F46" s="8">
        <f>ROUND(B46+C46-D46,6)</f>
        <v/>
      </c>
    </row>
    <row r="47">
      <c r="A47" s="4" t="n">
        <v>46</v>
      </c>
      <c r="B47" s="8">
        <f>F46</f>
        <v/>
      </c>
      <c r="C47" s="8">
        <f>IF(46&gt;'Compare loans'!$B$4,0,B47*'Compare loans'!$B$3/12)</f>
        <v/>
      </c>
      <c r="D47" s="8">
        <f>IF(46&gt;'Compare loans'!$B$4,0,MIN('Compare loans'!$B$7,B47+C47))</f>
        <v/>
      </c>
      <c r="E47" s="8">
        <f>D47-C47</f>
        <v/>
      </c>
      <c r="F47" s="8">
        <f>ROUND(B47+C47-D47,6)</f>
        <v/>
      </c>
    </row>
    <row r="48">
      <c r="A48" s="4" t="n">
        <v>47</v>
      </c>
      <c r="B48" s="8">
        <f>F47</f>
        <v/>
      </c>
      <c r="C48" s="8">
        <f>IF(47&gt;'Compare loans'!$B$4,0,B48*'Compare loans'!$B$3/12)</f>
        <v/>
      </c>
      <c r="D48" s="8">
        <f>IF(47&gt;'Compare loans'!$B$4,0,MIN('Compare loans'!$B$7,B48+C48))</f>
        <v/>
      </c>
      <c r="E48" s="8">
        <f>D48-C48</f>
        <v/>
      </c>
      <c r="F48" s="8">
        <f>ROUND(B48+C48-D48,6)</f>
        <v/>
      </c>
    </row>
    <row r="49">
      <c r="A49" s="4" t="n">
        <v>48</v>
      </c>
      <c r="B49" s="8">
        <f>F48</f>
        <v/>
      </c>
      <c r="C49" s="8">
        <f>IF(48&gt;'Compare loans'!$B$4,0,B49*'Compare loans'!$B$3/12)</f>
        <v/>
      </c>
      <c r="D49" s="8">
        <f>IF(48&gt;'Compare loans'!$B$4,0,MIN('Compare loans'!$B$7,B49+C49))</f>
        <v/>
      </c>
      <c r="E49" s="8">
        <f>D49-C49</f>
        <v/>
      </c>
      <c r="F49" s="8">
        <f>ROUND(B49+C49-D49,6)</f>
        <v/>
      </c>
    </row>
    <row r="50">
      <c r="A50" s="4" t="n">
        <v>49</v>
      </c>
      <c r="B50" s="8">
        <f>F49</f>
        <v/>
      </c>
      <c r="C50" s="8">
        <f>IF(49&gt;'Compare loans'!$B$4,0,B50*'Compare loans'!$B$3/12)</f>
        <v/>
      </c>
      <c r="D50" s="8">
        <f>IF(49&gt;'Compare loans'!$B$4,0,MIN('Compare loans'!$B$7,B50+C50))</f>
        <v/>
      </c>
      <c r="E50" s="8">
        <f>D50-C50</f>
        <v/>
      </c>
      <c r="F50" s="8">
        <f>ROUND(B50+C50-D50,6)</f>
        <v/>
      </c>
    </row>
    <row r="51">
      <c r="A51" s="4" t="n">
        <v>50</v>
      </c>
      <c r="B51" s="8">
        <f>F50</f>
        <v/>
      </c>
      <c r="C51" s="8">
        <f>IF(50&gt;'Compare loans'!$B$4,0,B51*'Compare loans'!$B$3/12)</f>
        <v/>
      </c>
      <c r="D51" s="8">
        <f>IF(50&gt;'Compare loans'!$B$4,0,MIN('Compare loans'!$B$7,B51+C51))</f>
        <v/>
      </c>
      <c r="E51" s="8">
        <f>D51-C51</f>
        <v/>
      </c>
      <c r="F51" s="8">
        <f>ROUND(B51+C51-D51,6)</f>
        <v/>
      </c>
    </row>
    <row r="52">
      <c r="A52" s="4" t="n">
        <v>51</v>
      </c>
      <c r="B52" s="8">
        <f>F51</f>
        <v/>
      </c>
      <c r="C52" s="8">
        <f>IF(51&gt;'Compare loans'!$B$4,0,B52*'Compare loans'!$B$3/12)</f>
        <v/>
      </c>
      <c r="D52" s="8">
        <f>IF(51&gt;'Compare loans'!$B$4,0,MIN('Compare loans'!$B$7,B52+C52))</f>
        <v/>
      </c>
      <c r="E52" s="8">
        <f>D52-C52</f>
        <v/>
      </c>
      <c r="F52" s="8">
        <f>ROUND(B52+C52-D52,6)</f>
        <v/>
      </c>
    </row>
    <row r="53">
      <c r="A53" s="4" t="n">
        <v>52</v>
      </c>
      <c r="B53" s="8">
        <f>F52</f>
        <v/>
      </c>
      <c r="C53" s="8">
        <f>IF(52&gt;'Compare loans'!$B$4,0,B53*'Compare loans'!$B$3/12)</f>
        <v/>
      </c>
      <c r="D53" s="8">
        <f>IF(52&gt;'Compare loans'!$B$4,0,MIN('Compare loans'!$B$7,B53+C53))</f>
        <v/>
      </c>
      <c r="E53" s="8">
        <f>D53-C53</f>
        <v/>
      </c>
      <c r="F53" s="8">
        <f>ROUND(B53+C53-D53,6)</f>
        <v/>
      </c>
    </row>
    <row r="54">
      <c r="A54" s="4" t="n">
        <v>53</v>
      </c>
      <c r="B54" s="8">
        <f>F53</f>
        <v/>
      </c>
      <c r="C54" s="8">
        <f>IF(53&gt;'Compare loans'!$B$4,0,B54*'Compare loans'!$B$3/12)</f>
        <v/>
      </c>
      <c r="D54" s="8">
        <f>IF(53&gt;'Compare loans'!$B$4,0,MIN('Compare loans'!$B$7,B54+C54))</f>
        <v/>
      </c>
      <c r="E54" s="8">
        <f>D54-C54</f>
        <v/>
      </c>
      <c r="F54" s="8">
        <f>ROUND(B54+C54-D54,6)</f>
        <v/>
      </c>
    </row>
    <row r="55">
      <c r="A55" s="4" t="n">
        <v>54</v>
      </c>
      <c r="B55" s="8">
        <f>F54</f>
        <v/>
      </c>
      <c r="C55" s="8">
        <f>IF(54&gt;'Compare loans'!$B$4,0,B55*'Compare loans'!$B$3/12)</f>
        <v/>
      </c>
      <c r="D55" s="8">
        <f>IF(54&gt;'Compare loans'!$B$4,0,MIN('Compare loans'!$B$7,B55+C55))</f>
        <v/>
      </c>
      <c r="E55" s="8">
        <f>D55-C55</f>
        <v/>
      </c>
      <c r="F55" s="8">
        <f>ROUND(B55+C55-D55,6)</f>
        <v/>
      </c>
    </row>
    <row r="56">
      <c r="A56" s="4" t="n">
        <v>55</v>
      </c>
      <c r="B56" s="8">
        <f>F55</f>
        <v/>
      </c>
      <c r="C56" s="8">
        <f>IF(55&gt;'Compare loans'!$B$4,0,B56*'Compare loans'!$B$3/12)</f>
        <v/>
      </c>
      <c r="D56" s="8">
        <f>IF(55&gt;'Compare loans'!$B$4,0,MIN('Compare loans'!$B$7,B56+C56))</f>
        <v/>
      </c>
      <c r="E56" s="8">
        <f>D56-C56</f>
        <v/>
      </c>
      <c r="F56" s="8">
        <f>ROUND(B56+C56-D56,6)</f>
        <v/>
      </c>
    </row>
    <row r="57">
      <c r="A57" s="4" t="n">
        <v>56</v>
      </c>
      <c r="B57" s="8">
        <f>F56</f>
        <v/>
      </c>
      <c r="C57" s="8">
        <f>IF(56&gt;'Compare loans'!$B$4,0,B57*'Compare loans'!$B$3/12)</f>
        <v/>
      </c>
      <c r="D57" s="8">
        <f>IF(56&gt;'Compare loans'!$B$4,0,MIN('Compare loans'!$B$7,B57+C57))</f>
        <v/>
      </c>
      <c r="E57" s="8">
        <f>D57-C57</f>
        <v/>
      </c>
      <c r="F57" s="8">
        <f>ROUND(B57+C57-D57,6)</f>
        <v/>
      </c>
    </row>
    <row r="58">
      <c r="A58" s="4" t="n">
        <v>57</v>
      </c>
      <c r="B58" s="8">
        <f>F57</f>
        <v/>
      </c>
      <c r="C58" s="8">
        <f>IF(57&gt;'Compare loans'!$B$4,0,B58*'Compare loans'!$B$3/12)</f>
        <v/>
      </c>
      <c r="D58" s="8">
        <f>IF(57&gt;'Compare loans'!$B$4,0,MIN('Compare loans'!$B$7,B58+C58))</f>
        <v/>
      </c>
      <c r="E58" s="8">
        <f>D58-C58</f>
        <v/>
      </c>
      <c r="F58" s="8">
        <f>ROUND(B58+C58-D58,6)</f>
        <v/>
      </c>
    </row>
    <row r="59">
      <c r="A59" s="4" t="n">
        <v>58</v>
      </c>
      <c r="B59" s="8">
        <f>F58</f>
        <v/>
      </c>
      <c r="C59" s="8">
        <f>IF(58&gt;'Compare loans'!$B$4,0,B59*'Compare loans'!$B$3/12)</f>
        <v/>
      </c>
      <c r="D59" s="8">
        <f>IF(58&gt;'Compare loans'!$B$4,0,MIN('Compare loans'!$B$7,B59+C59))</f>
        <v/>
      </c>
      <c r="E59" s="8">
        <f>D59-C59</f>
        <v/>
      </c>
      <c r="F59" s="8">
        <f>ROUND(B59+C59-D59,6)</f>
        <v/>
      </c>
    </row>
    <row r="60">
      <c r="A60" s="4" t="n">
        <v>59</v>
      </c>
      <c r="B60" s="8">
        <f>F59</f>
        <v/>
      </c>
      <c r="C60" s="8">
        <f>IF(59&gt;'Compare loans'!$B$4,0,B60*'Compare loans'!$B$3/12)</f>
        <v/>
      </c>
      <c r="D60" s="8">
        <f>IF(59&gt;'Compare loans'!$B$4,0,MIN('Compare loans'!$B$7,B60+C60))</f>
        <v/>
      </c>
      <c r="E60" s="8">
        <f>D60-C60</f>
        <v/>
      </c>
      <c r="F60" s="8">
        <f>ROUND(B60+C60-D60,6)</f>
        <v/>
      </c>
    </row>
    <row r="61">
      <c r="A61" s="4" t="n">
        <v>60</v>
      </c>
      <c r="B61" s="8">
        <f>F60</f>
        <v/>
      </c>
      <c r="C61" s="8">
        <f>IF(60&gt;'Compare loans'!$B$4,0,B61*'Compare loans'!$B$3/12)</f>
        <v/>
      </c>
      <c r="D61" s="8">
        <f>IF(60&gt;'Compare loans'!$B$4,0,MIN('Compare loans'!$B$7,B61+C61))</f>
        <v/>
      </c>
      <c r="E61" s="8">
        <f>D61-C61</f>
        <v/>
      </c>
      <c r="F61" s="8">
        <f>ROUND(B61+C61-D61,6)</f>
        <v/>
      </c>
    </row>
    <row r="63">
      <c r="A63" s="10" t="inlineStr">
        <is>
          <t>Totals</t>
        </is>
      </c>
      <c r="C63" s="8">
        <f>SUM(C2:C61)</f>
        <v/>
      </c>
      <c r="D63" s="8">
        <f>SUM(D2:D61)</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6" customWidth="1" min="1" max="1"/>
    <col width="16" customWidth="1" min="2" max="2"/>
    <col width="16" customWidth="1" min="3" max="3"/>
    <col width="44" customWidth="1" min="4" max="4"/>
  </cols>
  <sheetData>
    <row r="1">
      <c r="A1" s="3" t="inlineStr">
        <is>
          <t>Line</t>
        </is>
      </c>
      <c r="B1" s="3" t="inlineStr">
        <is>
          <t>Standard</t>
        </is>
      </c>
      <c r="C1" s="3" t="inlineStr">
        <is>
          <t>With balloon</t>
        </is>
      </c>
      <c r="D1" s="3" t="inlineStr">
        <is>
          <t>Note</t>
        </is>
      </c>
    </row>
    <row r="2">
      <c r="A2" s="4" t="inlineStr">
        <is>
          <t>Amount borrowed</t>
        </is>
      </c>
      <c r="B2" s="5" t="n">
        <v>25000</v>
      </c>
      <c r="C2" s="5" t="n">
        <v>25000</v>
      </c>
      <c r="D2" s="4" t="inlineStr"/>
    </row>
    <row r="3">
      <c r="A3" s="4" t="inlineStr">
        <is>
          <t>Interest rate (yearly)</t>
        </is>
      </c>
      <c r="B3" s="6" t="n">
        <v>0.08</v>
      </c>
      <c r="C3" s="6" t="n">
        <v>0.08</v>
      </c>
      <c r="D3" s="4" t="inlineStr"/>
    </row>
    <row r="4">
      <c r="A4" s="4" t="inlineStr">
        <is>
          <t>Term (months)</t>
        </is>
      </c>
      <c r="B4" s="7" t="n">
        <v>60</v>
      </c>
      <c r="C4" s="7" t="n">
        <v>60</v>
      </c>
      <c r="D4" s="4" t="inlineStr"/>
    </row>
    <row r="5">
      <c r="A5" s="4" t="inlineStr">
        <is>
          <t>Balloon (lump sum at the end)</t>
        </is>
      </c>
      <c r="B5" s="5" t="n">
        <v>0</v>
      </c>
      <c r="C5" s="5" t="n">
        <v>7500</v>
      </c>
      <c r="D5" s="4" t="inlineStr"/>
    </row>
    <row r="6">
      <c r="A6" s="4" t="inlineStr">
        <is>
          <t>Monthly repayment</t>
        </is>
      </c>
      <c r="B6" s="8">
        <f>PMT(B3/12,B4,-B2,B5)</f>
        <v/>
      </c>
      <c r="C6" s="8">
        <f>PMT(C3/12,C4,-C2,C5)</f>
        <v/>
      </c>
      <c r="D6" s="4" t="inlineStr"/>
    </row>
    <row r="7">
      <c r="A7" s="4" t="inlineStr">
        <is>
          <t>Total paid (repayments + balloon)</t>
        </is>
      </c>
      <c r="B7" s="8">
        <f>B6*B4+B5</f>
        <v/>
      </c>
      <c r="C7" s="8">
        <f>C6*C4+C5</f>
        <v/>
      </c>
      <c r="D7" s="4" t="inlineStr"/>
    </row>
    <row r="8">
      <c r="A8" s="4" t="inlineStr">
        <is>
          <t>Total interest</t>
        </is>
      </c>
      <c r="B8" s="8">
        <f>B7-B2</f>
        <v/>
      </c>
      <c r="C8" s="8">
        <f>C7-C2</f>
        <v/>
      </c>
      <c r="D8" s="4" t="inlineStr"/>
    </row>
    <row r="9">
      <c r="A9" s="4" t="inlineStr">
        <is>
          <t>Extra interest with balloon</t>
        </is>
      </c>
      <c r="B9" s="8" t="n"/>
      <c r="C9" s="8">
        <f>C8-B8</f>
        <v/>
      </c>
      <c r="D9" s="4" t="inlineStr"/>
    </row>
    <row r="10">
      <c r="A10" s="4" t="inlineStr">
        <is>
          <t>Car value expected at the end</t>
        </is>
      </c>
      <c r="B10" s="8" t="n"/>
      <c r="C10" s="5" t="n">
        <v>7000</v>
      </c>
      <c r="D10" s="4" t="inlineStr">
        <is>
          <t>Your estimate</t>
        </is>
      </c>
    </row>
    <row r="11">
      <c r="A11" s="4" t="inlineStr">
        <is>
          <t>Owe more than the car is worth?</t>
        </is>
      </c>
      <c r="B11" s="4" t="n"/>
      <c r="C11" s="4">
        <f>IF(C5&gt;C10,"Yes, by "&amp;TEXT(C5-C10,"$#,##0"),"No")</f>
        <v/>
      </c>
      <c r="D11" s="4" t="inlineStr"/>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M208"/>
  <sheetViews>
    <sheetView workbookViewId="0">
      <selection activeCell="A1" sqref="A1"/>
    </sheetView>
  </sheetViews>
  <sheetFormatPr baseColWidth="8" defaultRowHeight="15"/>
  <cols>
    <col width="26" customWidth="1" min="1" max="1"/>
    <col width="13"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s>
  <sheetData>
    <row r="1">
      <c r="A1" s="4" t="inlineStr">
        <is>
          <t>Card balance</t>
        </is>
      </c>
      <c r="B1" s="5" t="n">
        <v>3000</v>
      </c>
    </row>
    <row r="2">
      <c r="A2" s="4" t="inlineStr">
        <is>
          <t>Interest rate (yearly)</t>
        </is>
      </c>
      <c r="B2" s="6" t="n">
        <v>0.22</v>
      </c>
    </row>
    <row r="3">
      <c r="A3" s="4" t="inlineStr">
        <is>
          <t>Fixed payment a month</t>
        </is>
      </c>
      <c r="B3" s="5" t="n">
        <v>60</v>
      </c>
      <c r="E3" s="5" t="n">
        <v>90</v>
      </c>
      <c r="H3" s="5" t="n">
        <v>150</v>
      </c>
      <c r="K3" s="5" t="n">
        <v>120</v>
      </c>
    </row>
    <row r="4">
      <c r="A4" s="4" t="inlineStr">
        <is>
          <t>Months to clear</t>
        </is>
      </c>
      <c r="B4" s="4">
        <f>IF(B208-D208+C208&gt;0.01,"Over 200",COUNTIF(D9:D208,"&gt;0"))</f>
        <v/>
      </c>
      <c r="E4" s="4">
        <f>IF(E208-G208+F208&gt;0.01,"Over 200",COUNTIF(G9:G208,"&gt;0"))</f>
        <v/>
      </c>
      <c r="H4" s="4">
        <f>IF(H208-J208+I208&gt;0.01,"Over 200",COUNTIF(J9:J208,"&gt;0"))</f>
        <v/>
      </c>
      <c r="K4" s="4">
        <f>IF(K208-M208+L208&gt;0.01,"Over 200",COUNTIF(M9:M208,"&gt;0"))</f>
        <v/>
      </c>
    </row>
    <row r="5">
      <c r="A5" s="4" t="inlineStr">
        <is>
          <t>Total interest</t>
        </is>
      </c>
      <c r="B5" s="8">
        <f>SUM(C9:C208)</f>
        <v/>
      </c>
      <c r="E5" s="8">
        <f>SUM(F9:F208)</f>
        <v/>
      </c>
      <c r="H5" s="8">
        <f>SUM(I9:I208)</f>
        <v/>
      </c>
      <c r="K5" s="8">
        <f>SUM(L9:L208)</f>
        <v/>
      </c>
    </row>
    <row r="6">
      <c r="A6" s="4" t="inlineStr">
        <is>
          <t>Note</t>
        </is>
      </c>
      <c r="B6" s="4">
        <f>IF($B$3&lt;=$B$1*$B$2/12,"Payment too low: never clears","")</f>
        <v/>
      </c>
      <c r="E6" s="4">
        <f>IF($E$3&lt;=$B$1*$B$2/12,"Payment too low: never clears","")</f>
        <v/>
      </c>
      <c r="H6" s="4">
        <f>IF($H$3&lt;=$B$1*$B$2/12,"Payment too low: never clears","")</f>
        <v/>
      </c>
      <c r="K6" s="4">
        <f>IF($K$3&lt;=$B$1*$B$2/12,"Payment too low: never clears","")</f>
        <v/>
      </c>
    </row>
    <row r="8">
      <c r="A8" s="3" t="inlineStr">
        <is>
          <t>Month</t>
        </is>
      </c>
      <c r="B8" s="3" t="inlineStr">
        <is>
          <t>Balance (A)</t>
        </is>
      </c>
      <c r="C8" s="3" t="inlineStr">
        <is>
          <t>Interest (A)</t>
        </is>
      </c>
      <c r="D8" s="3" t="inlineStr">
        <is>
          <t>Paid (A)</t>
        </is>
      </c>
      <c r="E8" s="3" t="inlineStr">
        <is>
          <t>Balance (B)</t>
        </is>
      </c>
      <c r="F8" s="3" t="inlineStr">
        <is>
          <t>Interest (B)</t>
        </is>
      </c>
      <c r="G8" s="3" t="inlineStr">
        <is>
          <t>Paid (B)</t>
        </is>
      </c>
      <c r="H8" s="3" t="inlineStr">
        <is>
          <t>Balance (C)</t>
        </is>
      </c>
      <c r="I8" s="3" t="inlineStr">
        <is>
          <t>Interest (C)</t>
        </is>
      </c>
      <c r="J8" s="3" t="inlineStr">
        <is>
          <t>Paid (C)</t>
        </is>
      </c>
      <c r="K8" s="3" t="inlineStr">
        <is>
          <t>Balance (D)</t>
        </is>
      </c>
      <c r="L8" s="3" t="inlineStr">
        <is>
          <t>Interest (D)</t>
        </is>
      </c>
      <c r="M8" s="3" t="inlineStr">
        <is>
          <t>Paid (D)</t>
        </is>
      </c>
    </row>
    <row r="9">
      <c r="A9" s="4" t="n">
        <v>1</v>
      </c>
      <c r="B9" s="8">
        <f>$B$1</f>
        <v/>
      </c>
      <c r="C9" s="8">
        <f>IF(B9&lt;=0.000001,0,B9*$B$2/12)</f>
        <v/>
      </c>
      <c r="D9" s="8">
        <f>IF(B9&lt;=0.000001,0,MIN($B$3,B9+C9))</f>
        <v/>
      </c>
      <c r="E9" s="8">
        <f>$B$1</f>
        <v/>
      </c>
      <c r="F9" s="8">
        <f>IF(E9&lt;=0.000001,0,E9*$B$2/12)</f>
        <v/>
      </c>
      <c r="G9" s="8">
        <f>IF(E9&lt;=0.000001,0,MIN($E$3,E9+F9))</f>
        <v/>
      </c>
      <c r="H9" s="8">
        <f>$B$1</f>
        <v/>
      </c>
      <c r="I9" s="8">
        <f>IF(H9&lt;=0.000001,0,H9*$B$2/12)</f>
        <v/>
      </c>
      <c r="J9" s="8">
        <f>IF(H9&lt;=0.000001,0,MIN($H$3,H9+I9))</f>
        <v/>
      </c>
      <c r="K9" s="8">
        <f>$B$1</f>
        <v/>
      </c>
      <c r="L9" s="8">
        <f>IF(K9&lt;=0.000001,0,K9*$B$2/12)</f>
        <v/>
      </c>
      <c r="M9" s="8">
        <f>IF(K9&lt;=0.000001,0,MIN($K$3,K9+L9))</f>
        <v/>
      </c>
    </row>
    <row r="10">
      <c r="A10" s="4" t="n">
        <v>2</v>
      </c>
      <c r="B10" s="8">
        <f>ROUND(B9-D9+C9,8)</f>
        <v/>
      </c>
      <c r="C10" s="8">
        <f>IF(B10&lt;=0.000001,0,B10*$B$2/12)</f>
        <v/>
      </c>
      <c r="D10" s="8">
        <f>IF(B10&lt;=0.000001,0,MIN($B$3,B10+C10))</f>
        <v/>
      </c>
      <c r="E10" s="8">
        <f>ROUND(E9-G9+F9,8)</f>
        <v/>
      </c>
      <c r="F10" s="8">
        <f>IF(E10&lt;=0.000001,0,E10*$B$2/12)</f>
        <v/>
      </c>
      <c r="G10" s="8">
        <f>IF(E10&lt;=0.000001,0,MIN($E$3,E10+F10))</f>
        <v/>
      </c>
      <c r="H10" s="8">
        <f>ROUND(H9-J9+I9,8)</f>
        <v/>
      </c>
      <c r="I10" s="8">
        <f>IF(H10&lt;=0.000001,0,H10*$B$2/12)</f>
        <v/>
      </c>
      <c r="J10" s="8">
        <f>IF(H10&lt;=0.000001,0,MIN($H$3,H10+I10))</f>
        <v/>
      </c>
      <c r="K10" s="8">
        <f>ROUND(K9-M9+L9,8)</f>
        <v/>
      </c>
      <c r="L10" s="8">
        <f>IF(K10&lt;=0.000001,0,K10*$B$2/12)</f>
        <v/>
      </c>
      <c r="M10" s="8">
        <f>IF(K10&lt;=0.000001,0,MIN($K$3,K10+L10))</f>
        <v/>
      </c>
    </row>
    <row r="11">
      <c r="A11" s="4" t="n">
        <v>3</v>
      </c>
      <c r="B11" s="8">
        <f>ROUND(B10-D10+C10,8)</f>
        <v/>
      </c>
      <c r="C11" s="8">
        <f>IF(B11&lt;=0.000001,0,B11*$B$2/12)</f>
        <v/>
      </c>
      <c r="D11" s="8">
        <f>IF(B11&lt;=0.000001,0,MIN($B$3,B11+C11))</f>
        <v/>
      </c>
      <c r="E11" s="8">
        <f>ROUND(E10-G10+F10,8)</f>
        <v/>
      </c>
      <c r="F11" s="8">
        <f>IF(E11&lt;=0.000001,0,E11*$B$2/12)</f>
        <v/>
      </c>
      <c r="G11" s="8">
        <f>IF(E11&lt;=0.000001,0,MIN($E$3,E11+F11))</f>
        <v/>
      </c>
      <c r="H11" s="8">
        <f>ROUND(H10-J10+I10,8)</f>
        <v/>
      </c>
      <c r="I11" s="8">
        <f>IF(H11&lt;=0.000001,0,H11*$B$2/12)</f>
        <v/>
      </c>
      <c r="J11" s="8">
        <f>IF(H11&lt;=0.000001,0,MIN($H$3,H11+I11))</f>
        <v/>
      </c>
      <c r="K11" s="8">
        <f>ROUND(K10-M10+L10,8)</f>
        <v/>
      </c>
      <c r="L11" s="8">
        <f>IF(K11&lt;=0.000001,0,K11*$B$2/12)</f>
        <v/>
      </c>
      <c r="M11" s="8">
        <f>IF(K11&lt;=0.000001,0,MIN($K$3,K11+L11))</f>
        <v/>
      </c>
    </row>
    <row r="12">
      <c r="A12" s="4" t="n">
        <v>4</v>
      </c>
      <c r="B12" s="8">
        <f>ROUND(B11-D11+C11,8)</f>
        <v/>
      </c>
      <c r="C12" s="8">
        <f>IF(B12&lt;=0.000001,0,B12*$B$2/12)</f>
        <v/>
      </c>
      <c r="D12" s="8">
        <f>IF(B12&lt;=0.000001,0,MIN($B$3,B12+C12))</f>
        <v/>
      </c>
      <c r="E12" s="8">
        <f>ROUND(E11-G11+F11,8)</f>
        <v/>
      </c>
      <c r="F12" s="8">
        <f>IF(E12&lt;=0.000001,0,E12*$B$2/12)</f>
        <v/>
      </c>
      <c r="G12" s="8">
        <f>IF(E12&lt;=0.000001,0,MIN($E$3,E12+F12))</f>
        <v/>
      </c>
      <c r="H12" s="8">
        <f>ROUND(H11-J11+I11,8)</f>
        <v/>
      </c>
      <c r="I12" s="8">
        <f>IF(H12&lt;=0.000001,0,H12*$B$2/12)</f>
        <v/>
      </c>
      <c r="J12" s="8">
        <f>IF(H12&lt;=0.000001,0,MIN($H$3,H12+I12))</f>
        <v/>
      </c>
      <c r="K12" s="8">
        <f>ROUND(K11-M11+L11,8)</f>
        <v/>
      </c>
      <c r="L12" s="8">
        <f>IF(K12&lt;=0.000001,0,K12*$B$2/12)</f>
        <v/>
      </c>
      <c r="M12" s="8">
        <f>IF(K12&lt;=0.000001,0,MIN($K$3,K12+L12))</f>
        <v/>
      </c>
    </row>
    <row r="13">
      <c r="A13" s="4" t="n">
        <v>5</v>
      </c>
      <c r="B13" s="8">
        <f>ROUND(B12-D12+C12,8)</f>
        <v/>
      </c>
      <c r="C13" s="8">
        <f>IF(B13&lt;=0.000001,0,B13*$B$2/12)</f>
        <v/>
      </c>
      <c r="D13" s="8">
        <f>IF(B13&lt;=0.000001,0,MIN($B$3,B13+C13))</f>
        <v/>
      </c>
      <c r="E13" s="8">
        <f>ROUND(E12-G12+F12,8)</f>
        <v/>
      </c>
      <c r="F13" s="8">
        <f>IF(E13&lt;=0.000001,0,E13*$B$2/12)</f>
        <v/>
      </c>
      <c r="G13" s="8">
        <f>IF(E13&lt;=0.000001,0,MIN($E$3,E13+F13))</f>
        <v/>
      </c>
      <c r="H13" s="8">
        <f>ROUND(H12-J12+I12,8)</f>
        <v/>
      </c>
      <c r="I13" s="8">
        <f>IF(H13&lt;=0.000001,0,H13*$B$2/12)</f>
        <v/>
      </c>
      <c r="J13" s="8">
        <f>IF(H13&lt;=0.000001,0,MIN($H$3,H13+I13))</f>
        <v/>
      </c>
      <c r="K13" s="8">
        <f>ROUND(K12-M12+L12,8)</f>
        <v/>
      </c>
      <c r="L13" s="8">
        <f>IF(K13&lt;=0.000001,0,K13*$B$2/12)</f>
        <v/>
      </c>
      <c r="M13" s="8">
        <f>IF(K13&lt;=0.000001,0,MIN($K$3,K13+L13))</f>
        <v/>
      </c>
    </row>
    <row r="14">
      <c r="A14" s="4" t="n">
        <v>6</v>
      </c>
      <c r="B14" s="8">
        <f>ROUND(B13-D13+C13,8)</f>
        <v/>
      </c>
      <c r="C14" s="8">
        <f>IF(B14&lt;=0.000001,0,B14*$B$2/12)</f>
        <v/>
      </c>
      <c r="D14" s="8">
        <f>IF(B14&lt;=0.000001,0,MIN($B$3,B14+C14))</f>
        <v/>
      </c>
      <c r="E14" s="8">
        <f>ROUND(E13-G13+F13,8)</f>
        <v/>
      </c>
      <c r="F14" s="8">
        <f>IF(E14&lt;=0.000001,0,E14*$B$2/12)</f>
        <v/>
      </c>
      <c r="G14" s="8">
        <f>IF(E14&lt;=0.000001,0,MIN($E$3,E14+F14))</f>
        <v/>
      </c>
      <c r="H14" s="8">
        <f>ROUND(H13-J13+I13,8)</f>
        <v/>
      </c>
      <c r="I14" s="8">
        <f>IF(H14&lt;=0.000001,0,H14*$B$2/12)</f>
        <v/>
      </c>
      <c r="J14" s="8">
        <f>IF(H14&lt;=0.000001,0,MIN($H$3,H14+I14))</f>
        <v/>
      </c>
      <c r="K14" s="8">
        <f>ROUND(K13-M13+L13,8)</f>
        <v/>
      </c>
      <c r="L14" s="8">
        <f>IF(K14&lt;=0.000001,0,K14*$B$2/12)</f>
        <v/>
      </c>
      <c r="M14" s="8">
        <f>IF(K14&lt;=0.000001,0,MIN($K$3,K14+L14))</f>
        <v/>
      </c>
    </row>
    <row r="15">
      <c r="A15" s="4" t="n">
        <v>7</v>
      </c>
      <c r="B15" s="8">
        <f>ROUND(B14-D14+C14,8)</f>
        <v/>
      </c>
      <c r="C15" s="8">
        <f>IF(B15&lt;=0.000001,0,B15*$B$2/12)</f>
        <v/>
      </c>
      <c r="D15" s="8">
        <f>IF(B15&lt;=0.000001,0,MIN($B$3,B15+C15))</f>
        <v/>
      </c>
      <c r="E15" s="8">
        <f>ROUND(E14-G14+F14,8)</f>
        <v/>
      </c>
      <c r="F15" s="8">
        <f>IF(E15&lt;=0.000001,0,E15*$B$2/12)</f>
        <v/>
      </c>
      <c r="G15" s="8">
        <f>IF(E15&lt;=0.000001,0,MIN($E$3,E15+F15))</f>
        <v/>
      </c>
      <c r="H15" s="8">
        <f>ROUND(H14-J14+I14,8)</f>
        <v/>
      </c>
      <c r="I15" s="8">
        <f>IF(H15&lt;=0.000001,0,H15*$B$2/12)</f>
        <v/>
      </c>
      <c r="J15" s="8">
        <f>IF(H15&lt;=0.000001,0,MIN($H$3,H15+I15))</f>
        <v/>
      </c>
      <c r="K15" s="8">
        <f>ROUND(K14-M14+L14,8)</f>
        <v/>
      </c>
      <c r="L15" s="8">
        <f>IF(K15&lt;=0.000001,0,K15*$B$2/12)</f>
        <v/>
      </c>
      <c r="M15" s="8">
        <f>IF(K15&lt;=0.000001,0,MIN($K$3,K15+L15))</f>
        <v/>
      </c>
    </row>
    <row r="16">
      <c r="A16" s="4" t="n">
        <v>8</v>
      </c>
      <c r="B16" s="8">
        <f>ROUND(B15-D15+C15,8)</f>
        <v/>
      </c>
      <c r="C16" s="8">
        <f>IF(B16&lt;=0.000001,0,B16*$B$2/12)</f>
        <v/>
      </c>
      <c r="D16" s="8">
        <f>IF(B16&lt;=0.000001,0,MIN($B$3,B16+C16))</f>
        <v/>
      </c>
      <c r="E16" s="8">
        <f>ROUND(E15-G15+F15,8)</f>
        <v/>
      </c>
      <c r="F16" s="8">
        <f>IF(E16&lt;=0.000001,0,E16*$B$2/12)</f>
        <v/>
      </c>
      <c r="G16" s="8">
        <f>IF(E16&lt;=0.000001,0,MIN($E$3,E16+F16))</f>
        <v/>
      </c>
      <c r="H16" s="8">
        <f>ROUND(H15-J15+I15,8)</f>
        <v/>
      </c>
      <c r="I16" s="8">
        <f>IF(H16&lt;=0.000001,0,H16*$B$2/12)</f>
        <v/>
      </c>
      <c r="J16" s="8">
        <f>IF(H16&lt;=0.000001,0,MIN($H$3,H16+I16))</f>
        <v/>
      </c>
      <c r="K16" s="8">
        <f>ROUND(K15-M15+L15,8)</f>
        <v/>
      </c>
      <c r="L16" s="8">
        <f>IF(K16&lt;=0.000001,0,K16*$B$2/12)</f>
        <v/>
      </c>
      <c r="M16" s="8">
        <f>IF(K16&lt;=0.000001,0,MIN($K$3,K16+L16))</f>
        <v/>
      </c>
    </row>
    <row r="17">
      <c r="A17" s="4" t="n">
        <v>9</v>
      </c>
      <c r="B17" s="8">
        <f>ROUND(B16-D16+C16,8)</f>
        <v/>
      </c>
      <c r="C17" s="8">
        <f>IF(B17&lt;=0.000001,0,B17*$B$2/12)</f>
        <v/>
      </c>
      <c r="D17" s="8">
        <f>IF(B17&lt;=0.000001,0,MIN($B$3,B17+C17))</f>
        <v/>
      </c>
      <c r="E17" s="8">
        <f>ROUND(E16-G16+F16,8)</f>
        <v/>
      </c>
      <c r="F17" s="8">
        <f>IF(E17&lt;=0.000001,0,E17*$B$2/12)</f>
        <v/>
      </c>
      <c r="G17" s="8">
        <f>IF(E17&lt;=0.000001,0,MIN($E$3,E17+F17))</f>
        <v/>
      </c>
      <c r="H17" s="8">
        <f>ROUND(H16-J16+I16,8)</f>
        <v/>
      </c>
      <c r="I17" s="8">
        <f>IF(H17&lt;=0.000001,0,H17*$B$2/12)</f>
        <v/>
      </c>
      <c r="J17" s="8">
        <f>IF(H17&lt;=0.000001,0,MIN($H$3,H17+I17))</f>
        <v/>
      </c>
      <c r="K17" s="8">
        <f>ROUND(K16-M16+L16,8)</f>
        <v/>
      </c>
      <c r="L17" s="8">
        <f>IF(K17&lt;=0.000001,0,K17*$B$2/12)</f>
        <v/>
      </c>
      <c r="M17" s="8">
        <f>IF(K17&lt;=0.000001,0,MIN($K$3,K17+L17))</f>
        <v/>
      </c>
    </row>
    <row r="18">
      <c r="A18" s="4" t="n">
        <v>10</v>
      </c>
      <c r="B18" s="8">
        <f>ROUND(B17-D17+C17,8)</f>
        <v/>
      </c>
      <c r="C18" s="8">
        <f>IF(B18&lt;=0.000001,0,B18*$B$2/12)</f>
        <v/>
      </c>
      <c r="D18" s="8">
        <f>IF(B18&lt;=0.000001,0,MIN($B$3,B18+C18))</f>
        <v/>
      </c>
      <c r="E18" s="8">
        <f>ROUND(E17-G17+F17,8)</f>
        <v/>
      </c>
      <c r="F18" s="8">
        <f>IF(E18&lt;=0.000001,0,E18*$B$2/12)</f>
        <v/>
      </c>
      <c r="G18" s="8">
        <f>IF(E18&lt;=0.000001,0,MIN($E$3,E18+F18))</f>
        <v/>
      </c>
      <c r="H18" s="8">
        <f>ROUND(H17-J17+I17,8)</f>
        <v/>
      </c>
      <c r="I18" s="8">
        <f>IF(H18&lt;=0.000001,0,H18*$B$2/12)</f>
        <v/>
      </c>
      <c r="J18" s="8">
        <f>IF(H18&lt;=0.000001,0,MIN($H$3,H18+I18))</f>
        <v/>
      </c>
      <c r="K18" s="8">
        <f>ROUND(K17-M17+L17,8)</f>
        <v/>
      </c>
      <c r="L18" s="8">
        <f>IF(K18&lt;=0.000001,0,K18*$B$2/12)</f>
        <v/>
      </c>
      <c r="M18" s="8">
        <f>IF(K18&lt;=0.000001,0,MIN($K$3,K18+L18))</f>
        <v/>
      </c>
    </row>
    <row r="19">
      <c r="A19" s="4" t="n">
        <v>11</v>
      </c>
      <c r="B19" s="8">
        <f>ROUND(B18-D18+C18,8)</f>
        <v/>
      </c>
      <c r="C19" s="8">
        <f>IF(B19&lt;=0.000001,0,B19*$B$2/12)</f>
        <v/>
      </c>
      <c r="D19" s="8">
        <f>IF(B19&lt;=0.000001,0,MIN($B$3,B19+C19))</f>
        <v/>
      </c>
      <c r="E19" s="8">
        <f>ROUND(E18-G18+F18,8)</f>
        <v/>
      </c>
      <c r="F19" s="8">
        <f>IF(E19&lt;=0.000001,0,E19*$B$2/12)</f>
        <v/>
      </c>
      <c r="G19" s="8">
        <f>IF(E19&lt;=0.000001,0,MIN($E$3,E19+F19))</f>
        <v/>
      </c>
      <c r="H19" s="8">
        <f>ROUND(H18-J18+I18,8)</f>
        <v/>
      </c>
      <c r="I19" s="8">
        <f>IF(H19&lt;=0.000001,0,H19*$B$2/12)</f>
        <v/>
      </c>
      <c r="J19" s="8">
        <f>IF(H19&lt;=0.000001,0,MIN($H$3,H19+I19))</f>
        <v/>
      </c>
      <c r="K19" s="8">
        <f>ROUND(K18-M18+L18,8)</f>
        <v/>
      </c>
      <c r="L19" s="8">
        <f>IF(K19&lt;=0.000001,0,K19*$B$2/12)</f>
        <v/>
      </c>
      <c r="M19" s="8">
        <f>IF(K19&lt;=0.000001,0,MIN($K$3,K19+L19))</f>
        <v/>
      </c>
    </row>
    <row r="20">
      <c r="A20" s="4" t="n">
        <v>12</v>
      </c>
      <c r="B20" s="8">
        <f>ROUND(B19-D19+C19,8)</f>
        <v/>
      </c>
      <c r="C20" s="8">
        <f>IF(B20&lt;=0.000001,0,B20*$B$2/12)</f>
        <v/>
      </c>
      <c r="D20" s="8">
        <f>IF(B20&lt;=0.000001,0,MIN($B$3,B20+C20))</f>
        <v/>
      </c>
      <c r="E20" s="8">
        <f>ROUND(E19-G19+F19,8)</f>
        <v/>
      </c>
      <c r="F20" s="8">
        <f>IF(E20&lt;=0.000001,0,E20*$B$2/12)</f>
        <v/>
      </c>
      <c r="G20" s="8">
        <f>IF(E20&lt;=0.000001,0,MIN($E$3,E20+F20))</f>
        <v/>
      </c>
      <c r="H20" s="8">
        <f>ROUND(H19-J19+I19,8)</f>
        <v/>
      </c>
      <c r="I20" s="8">
        <f>IF(H20&lt;=0.000001,0,H20*$B$2/12)</f>
        <v/>
      </c>
      <c r="J20" s="8">
        <f>IF(H20&lt;=0.000001,0,MIN($H$3,H20+I20))</f>
        <v/>
      </c>
      <c r="K20" s="8">
        <f>ROUND(K19-M19+L19,8)</f>
        <v/>
      </c>
      <c r="L20" s="8">
        <f>IF(K20&lt;=0.000001,0,K20*$B$2/12)</f>
        <v/>
      </c>
      <c r="M20" s="8">
        <f>IF(K20&lt;=0.000001,0,MIN($K$3,K20+L20))</f>
        <v/>
      </c>
    </row>
    <row r="21">
      <c r="A21" s="4" t="n">
        <v>13</v>
      </c>
      <c r="B21" s="8">
        <f>ROUND(B20-D20+C20,8)</f>
        <v/>
      </c>
      <c r="C21" s="8">
        <f>IF(B21&lt;=0.000001,0,B21*$B$2/12)</f>
        <v/>
      </c>
      <c r="D21" s="8">
        <f>IF(B21&lt;=0.000001,0,MIN($B$3,B21+C21))</f>
        <v/>
      </c>
      <c r="E21" s="8">
        <f>ROUND(E20-G20+F20,8)</f>
        <v/>
      </c>
      <c r="F21" s="8">
        <f>IF(E21&lt;=0.000001,0,E21*$B$2/12)</f>
        <v/>
      </c>
      <c r="G21" s="8">
        <f>IF(E21&lt;=0.000001,0,MIN($E$3,E21+F21))</f>
        <v/>
      </c>
      <c r="H21" s="8">
        <f>ROUND(H20-J20+I20,8)</f>
        <v/>
      </c>
      <c r="I21" s="8">
        <f>IF(H21&lt;=0.000001,0,H21*$B$2/12)</f>
        <v/>
      </c>
      <c r="J21" s="8">
        <f>IF(H21&lt;=0.000001,0,MIN($H$3,H21+I21))</f>
        <v/>
      </c>
      <c r="K21" s="8">
        <f>ROUND(K20-M20+L20,8)</f>
        <v/>
      </c>
      <c r="L21" s="8">
        <f>IF(K21&lt;=0.000001,0,K21*$B$2/12)</f>
        <v/>
      </c>
      <c r="M21" s="8">
        <f>IF(K21&lt;=0.000001,0,MIN($K$3,K21+L21))</f>
        <v/>
      </c>
    </row>
    <row r="22">
      <c r="A22" s="4" t="n">
        <v>14</v>
      </c>
      <c r="B22" s="8">
        <f>ROUND(B21-D21+C21,8)</f>
        <v/>
      </c>
      <c r="C22" s="8">
        <f>IF(B22&lt;=0.000001,0,B22*$B$2/12)</f>
        <v/>
      </c>
      <c r="D22" s="8">
        <f>IF(B22&lt;=0.000001,0,MIN($B$3,B22+C22))</f>
        <v/>
      </c>
      <c r="E22" s="8">
        <f>ROUND(E21-G21+F21,8)</f>
        <v/>
      </c>
      <c r="F22" s="8">
        <f>IF(E22&lt;=0.000001,0,E22*$B$2/12)</f>
        <v/>
      </c>
      <c r="G22" s="8">
        <f>IF(E22&lt;=0.000001,0,MIN($E$3,E22+F22))</f>
        <v/>
      </c>
      <c r="H22" s="8">
        <f>ROUND(H21-J21+I21,8)</f>
        <v/>
      </c>
      <c r="I22" s="8">
        <f>IF(H22&lt;=0.000001,0,H22*$B$2/12)</f>
        <v/>
      </c>
      <c r="J22" s="8">
        <f>IF(H22&lt;=0.000001,0,MIN($H$3,H22+I22))</f>
        <v/>
      </c>
      <c r="K22" s="8">
        <f>ROUND(K21-M21+L21,8)</f>
        <v/>
      </c>
      <c r="L22" s="8">
        <f>IF(K22&lt;=0.000001,0,K22*$B$2/12)</f>
        <v/>
      </c>
      <c r="M22" s="8">
        <f>IF(K22&lt;=0.000001,0,MIN($K$3,K22+L22))</f>
        <v/>
      </c>
    </row>
    <row r="23">
      <c r="A23" s="4" t="n">
        <v>15</v>
      </c>
      <c r="B23" s="8">
        <f>ROUND(B22-D22+C22,8)</f>
        <v/>
      </c>
      <c r="C23" s="8">
        <f>IF(B23&lt;=0.000001,0,B23*$B$2/12)</f>
        <v/>
      </c>
      <c r="D23" s="8">
        <f>IF(B23&lt;=0.000001,0,MIN($B$3,B23+C23))</f>
        <v/>
      </c>
      <c r="E23" s="8">
        <f>ROUND(E22-G22+F22,8)</f>
        <v/>
      </c>
      <c r="F23" s="8">
        <f>IF(E23&lt;=0.000001,0,E23*$B$2/12)</f>
        <v/>
      </c>
      <c r="G23" s="8">
        <f>IF(E23&lt;=0.000001,0,MIN($E$3,E23+F23))</f>
        <v/>
      </c>
      <c r="H23" s="8">
        <f>ROUND(H22-J22+I22,8)</f>
        <v/>
      </c>
      <c r="I23" s="8">
        <f>IF(H23&lt;=0.000001,0,H23*$B$2/12)</f>
        <v/>
      </c>
      <c r="J23" s="8">
        <f>IF(H23&lt;=0.000001,0,MIN($H$3,H23+I23))</f>
        <v/>
      </c>
      <c r="K23" s="8">
        <f>ROUND(K22-M22+L22,8)</f>
        <v/>
      </c>
      <c r="L23" s="8">
        <f>IF(K23&lt;=0.000001,0,K23*$B$2/12)</f>
        <v/>
      </c>
      <c r="M23" s="8">
        <f>IF(K23&lt;=0.000001,0,MIN($K$3,K23+L23))</f>
        <v/>
      </c>
    </row>
    <row r="24">
      <c r="A24" s="4" t="n">
        <v>16</v>
      </c>
      <c r="B24" s="8">
        <f>ROUND(B23-D23+C23,8)</f>
        <v/>
      </c>
      <c r="C24" s="8">
        <f>IF(B24&lt;=0.000001,0,B24*$B$2/12)</f>
        <v/>
      </c>
      <c r="D24" s="8">
        <f>IF(B24&lt;=0.000001,0,MIN($B$3,B24+C24))</f>
        <v/>
      </c>
      <c r="E24" s="8">
        <f>ROUND(E23-G23+F23,8)</f>
        <v/>
      </c>
      <c r="F24" s="8">
        <f>IF(E24&lt;=0.000001,0,E24*$B$2/12)</f>
        <v/>
      </c>
      <c r="G24" s="8">
        <f>IF(E24&lt;=0.000001,0,MIN($E$3,E24+F24))</f>
        <v/>
      </c>
      <c r="H24" s="8">
        <f>ROUND(H23-J23+I23,8)</f>
        <v/>
      </c>
      <c r="I24" s="8">
        <f>IF(H24&lt;=0.000001,0,H24*$B$2/12)</f>
        <v/>
      </c>
      <c r="J24" s="8">
        <f>IF(H24&lt;=0.000001,0,MIN($H$3,H24+I24))</f>
        <v/>
      </c>
      <c r="K24" s="8">
        <f>ROUND(K23-M23+L23,8)</f>
        <v/>
      </c>
      <c r="L24" s="8">
        <f>IF(K24&lt;=0.000001,0,K24*$B$2/12)</f>
        <v/>
      </c>
      <c r="M24" s="8">
        <f>IF(K24&lt;=0.000001,0,MIN($K$3,K24+L24))</f>
        <v/>
      </c>
    </row>
    <row r="25">
      <c r="A25" s="4" t="n">
        <v>17</v>
      </c>
      <c r="B25" s="8">
        <f>ROUND(B24-D24+C24,8)</f>
        <v/>
      </c>
      <c r="C25" s="8">
        <f>IF(B25&lt;=0.000001,0,B25*$B$2/12)</f>
        <v/>
      </c>
      <c r="D25" s="8">
        <f>IF(B25&lt;=0.000001,0,MIN($B$3,B25+C25))</f>
        <v/>
      </c>
      <c r="E25" s="8">
        <f>ROUND(E24-G24+F24,8)</f>
        <v/>
      </c>
      <c r="F25" s="8">
        <f>IF(E25&lt;=0.000001,0,E25*$B$2/12)</f>
        <v/>
      </c>
      <c r="G25" s="8">
        <f>IF(E25&lt;=0.000001,0,MIN($E$3,E25+F25))</f>
        <v/>
      </c>
      <c r="H25" s="8">
        <f>ROUND(H24-J24+I24,8)</f>
        <v/>
      </c>
      <c r="I25" s="8">
        <f>IF(H25&lt;=0.000001,0,H25*$B$2/12)</f>
        <v/>
      </c>
      <c r="J25" s="8">
        <f>IF(H25&lt;=0.000001,0,MIN($H$3,H25+I25))</f>
        <v/>
      </c>
      <c r="K25" s="8">
        <f>ROUND(K24-M24+L24,8)</f>
        <v/>
      </c>
      <c r="L25" s="8">
        <f>IF(K25&lt;=0.000001,0,K25*$B$2/12)</f>
        <v/>
      </c>
      <c r="M25" s="8">
        <f>IF(K25&lt;=0.000001,0,MIN($K$3,K25+L25))</f>
        <v/>
      </c>
    </row>
    <row r="26">
      <c r="A26" s="4" t="n">
        <v>18</v>
      </c>
      <c r="B26" s="8">
        <f>ROUND(B25-D25+C25,8)</f>
        <v/>
      </c>
      <c r="C26" s="8">
        <f>IF(B26&lt;=0.000001,0,B26*$B$2/12)</f>
        <v/>
      </c>
      <c r="D26" s="8">
        <f>IF(B26&lt;=0.000001,0,MIN($B$3,B26+C26))</f>
        <v/>
      </c>
      <c r="E26" s="8">
        <f>ROUND(E25-G25+F25,8)</f>
        <v/>
      </c>
      <c r="F26" s="8">
        <f>IF(E26&lt;=0.000001,0,E26*$B$2/12)</f>
        <v/>
      </c>
      <c r="G26" s="8">
        <f>IF(E26&lt;=0.000001,0,MIN($E$3,E26+F26))</f>
        <v/>
      </c>
      <c r="H26" s="8">
        <f>ROUND(H25-J25+I25,8)</f>
        <v/>
      </c>
      <c r="I26" s="8">
        <f>IF(H26&lt;=0.000001,0,H26*$B$2/12)</f>
        <v/>
      </c>
      <c r="J26" s="8">
        <f>IF(H26&lt;=0.000001,0,MIN($H$3,H26+I26))</f>
        <v/>
      </c>
      <c r="K26" s="8">
        <f>ROUND(K25-M25+L25,8)</f>
        <v/>
      </c>
      <c r="L26" s="8">
        <f>IF(K26&lt;=0.000001,0,K26*$B$2/12)</f>
        <v/>
      </c>
      <c r="M26" s="8">
        <f>IF(K26&lt;=0.000001,0,MIN($K$3,K26+L26))</f>
        <v/>
      </c>
    </row>
    <row r="27">
      <c r="A27" s="4" t="n">
        <v>19</v>
      </c>
      <c r="B27" s="8">
        <f>ROUND(B26-D26+C26,8)</f>
        <v/>
      </c>
      <c r="C27" s="8">
        <f>IF(B27&lt;=0.000001,0,B27*$B$2/12)</f>
        <v/>
      </c>
      <c r="D27" s="8">
        <f>IF(B27&lt;=0.000001,0,MIN($B$3,B27+C27))</f>
        <v/>
      </c>
      <c r="E27" s="8">
        <f>ROUND(E26-G26+F26,8)</f>
        <v/>
      </c>
      <c r="F27" s="8">
        <f>IF(E27&lt;=0.000001,0,E27*$B$2/12)</f>
        <v/>
      </c>
      <c r="G27" s="8">
        <f>IF(E27&lt;=0.000001,0,MIN($E$3,E27+F27))</f>
        <v/>
      </c>
      <c r="H27" s="8">
        <f>ROUND(H26-J26+I26,8)</f>
        <v/>
      </c>
      <c r="I27" s="8">
        <f>IF(H27&lt;=0.000001,0,H27*$B$2/12)</f>
        <v/>
      </c>
      <c r="J27" s="8">
        <f>IF(H27&lt;=0.000001,0,MIN($H$3,H27+I27))</f>
        <v/>
      </c>
      <c r="K27" s="8">
        <f>ROUND(K26-M26+L26,8)</f>
        <v/>
      </c>
      <c r="L27" s="8">
        <f>IF(K27&lt;=0.000001,0,K27*$B$2/12)</f>
        <v/>
      </c>
      <c r="M27" s="8">
        <f>IF(K27&lt;=0.000001,0,MIN($K$3,K27+L27))</f>
        <v/>
      </c>
    </row>
    <row r="28">
      <c r="A28" s="4" t="n">
        <v>20</v>
      </c>
      <c r="B28" s="8">
        <f>ROUND(B27-D27+C27,8)</f>
        <v/>
      </c>
      <c r="C28" s="8">
        <f>IF(B28&lt;=0.000001,0,B28*$B$2/12)</f>
        <v/>
      </c>
      <c r="D28" s="8">
        <f>IF(B28&lt;=0.000001,0,MIN($B$3,B28+C28))</f>
        <v/>
      </c>
      <c r="E28" s="8">
        <f>ROUND(E27-G27+F27,8)</f>
        <v/>
      </c>
      <c r="F28" s="8">
        <f>IF(E28&lt;=0.000001,0,E28*$B$2/12)</f>
        <v/>
      </c>
      <c r="G28" s="8">
        <f>IF(E28&lt;=0.000001,0,MIN($E$3,E28+F28))</f>
        <v/>
      </c>
      <c r="H28" s="8">
        <f>ROUND(H27-J27+I27,8)</f>
        <v/>
      </c>
      <c r="I28" s="8">
        <f>IF(H28&lt;=0.000001,0,H28*$B$2/12)</f>
        <v/>
      </c>
      <c r="J28" s="8">
        <f>IF(H28&lt;=0.000001,0,MIN($H$3,H28+I28))</f>
        <v/>
      </c>
      <c r="K28" s="8">
        <f>ROUND(K27-M27+L27,8)</f>
        <v/>
      </c>
      <c r="L28" s="8">
        <f>IF(K28&lt;=0.000001,0,K28*$B$2/12)</f>
        <v/>
      </c>
      <c r="M28" s="8">
        <f>IF(K28&lt;=0.000001,0,MIN($K$3,K28+L28))</f>
        <v/>
      </c>
    </row>
    <row r="29">
      <c r="A29" s="4" t="n">
        <v>21</v>
      </c>
      <c r="B29" s="8">
        <f>ROUND(B28-D28+C28,8)</f>
        <v/>
      </c>
      <c r="C29" s="8">
        <f>IF(B29&lt;=0.000001,0,B29*$B$2/12)</f>
        <v/>
      </c>
      <c r="D29" s="8">
        <f>IF(B29&lt;=0.000001,0,MIN($B$3,B29+C29))</f>
        <v/>
      </c>
      <c r="E29" s="8">
        <f>ROUND(E28-G28+F28,8)</f>
        <v/>
      </c>
      <c r="F29" s="8">
        <f>IF(E29&lt;=0.000001,0,E29*$B$2/12)</f>
        <v/>
      </c>
      <c r="G29" s="8">
        <f>IF(E29&lt;=0.000001,0,MIN($E$3,E29+F29))</f>
        <v/>
      </c>
      <c r="H29" s="8">
        <f>ROUND(H28-J28+I28,8)</f>
        <v/>
      </c>
      <c r="I29" s="8">
        <f>IF(H29&lt;=0.000001,0,H29*$B$2/12)</f>
        <v/>
      </c>
      <c r="J29" s="8">
        <f>IF(H29&lt;=0.000001,0,MIN($H$3,H29+I29))</f>
        <v/>
      </c>
      <c r="K29" s="8">
        <f>ROUND(K28-M28+L28,8)</f>
        <v/>
      </c>
      <c r="L29" s="8">
        <f>IF(K29&lt;=0.000001,0,K29*$B$2/12)</f>
        <v/>
      </c>
      <c r="M29" s="8">
        <f>IF(K29&lt;=0.000001,0,MIN($K$3,K29+L29))</f>
        <v/>
      </c>
    </row>
    <row r="30">
      <c r="A30" s="4" t="n">
        <v>22</v>
      </c>
      <c r="B30" s="8">
        <f>ROUND(B29-D29+C29,8)</f>
        <v/>
      </c>
      <c r="C30" s="8">
        <f>IF(B30&lt;=0.000001,0,B30*$B$2/12)</f>
        <v/>
      </c>
      <c r="D30" s="8">
        <f>IF(B30&lt;=0.000001,0,MIN($B$3,B30+C30))</f>
        <v/>
      </c>
      <c r="E30" s="8">
        <f>ROUND(E29-G29+F29,8)</f>
        <v/>
      </c>
      <c r="F30" s="8">
        <f>IF(E30&lt;=0.000001,0,E30*$B$2/12)</f>
        <v/>
      </c>
      <c r="G30" s="8">
        <f>IF(E30&lt;=0.000001,0,MIN($E$3,E30+F30))</f>
        <v/>
      </c>
      <c r="H30" s="8">
        <f>ROUND(H29-J29+I29,8)</f>
        <v/>
      </c>
      <c r="I30" s="8">
        <f>IF(H30&lt;=0.000001,0,H30*$B$2/12)</f>
        <v/>
      </c>
      <c r="J30" s="8">
        <f>IF(H30&lt;=0.000001,0,MIN($H$3,H30+I30))</f>
        <v/>
      </c>
      <c r="K30" s="8">
        <f>ROUND(K29-M29+L29,8)</f>
        <v/>
      </c>
      <c r="L30" s="8">
        <f>IF(K30&lt;=0.000001,0,K30*$B$2/12)</f>
        <v/>
      </c>
      <c r="M30" s="8">
        <f>IF(K30&lt;=0.000001,0,MIN($K$3,K30+L30))</f>
        <v/>
      </c>
    </row>
    <row r="31">
      <c r="A31" s="4" t="n">
        <v>23</v>
      </c>
      <c r="B31" s="8">
        <f>ROUND(B30-D30+C30,8)</f>
        <v/>
      </c>
      <c r="C31" s="8">
        <f>IF(B31&lt;=0.000001,0,B31*$B$2/12)</f>
        <v/>
      </c>
      <c r="D31" s="8">
        <f>IF(B31&lt;=0.000001,0,MIN($B$3,B31+C31))</f>
        <v/>
      </c>
      <c r="E31" s="8">
        <f>ROUND(E30-G30+F30,8)</f>
        <v/>
      </c>
      <c r="F31" s="8">
        <f>IF(E31&lt;=0.000001,0,E31*$B$2/12)</f>
        <v/>
      </c>
      <c r="G31" s="8">
        <f>IF(E31&lt;=0.000001,0,MIN($E$3,E31+F31))</f>
        <v/>
      </c>
      <c r="H31" s="8">
        <f>ROUND(H30-J30+I30,8)</f>
        <v/>
      </c>
      <c r="I31" s="8">
        <f>IF(H31&lt;=0.000001,0,H31*$B$2/12)</f>
        <v/>
      </c>
      <c r="J31" s="8">
        <f>IF(H31&lt;=0.000001,0,MIN($H$3,H31+I31))</f>
        <v/>
      </c>
      <c r="K31" s="8">
        <f>ROUND(K30-M30+L30,8)</f>
        <v/>
      </c>
      <c r="L31" s="8">
        <f>IF(K31&lt;=0.000001,0,K31*$B$2/12)</f>
        <v/>
      </c>
      <c r="M31" s="8">
        <f>IF(K31&lt;=0.000001,0,MIN($K$3,K31+L31))</f>
        <v/>
      </c>
    </row>
    <row r="32">
      <c r="A32" s="4" t="n">
        <v>24</v>
      </c>
      <c r="B32" s="8">
        <f>ROUND(B31-D31+C31,8)</f>
        <v/>
      </c>
      <c r="C32" s="8">
        <f>IF(B32&lt;=0.000001,0,B32*$B$2/12)</f>
        <v/>
      </c>
      <c r="D32" s="8">
        <f>IF(B32&lt;=0.000001,0,MIN($B$3,B32+C32))</f>
        <v/>
      </c>
      <c r="E32" s="8">
        <f>ROUND(E31-G31+F31,8)</f>
        <v/>
      </c>
      <c r="F32" s="8">
        <f>IF(E32&lt;=0.000001,0,E32*$B$2/12)</f>
        <v/>
      </c>
      <c r="G32" s="8">
        <f>IF(E32&lt;=0.000001,0,MIN($E$3,E32+F32))</f>
        <v/>
      </c>
      <c r="H32" s="8">
        <f>ROUND(H31-J31+I31,8)</f>
        <v/>
      </c>
      <c r="I32" s="8">
        <f>IF(H32&lt;=0.000001,0,H32*$B$2/12)</f>
        <v/>
      </c>
      <c r="J32" s="8">
        <f>IF(H32&lt;=0.000001,0,MIN($H$3,H32+I32))</f>
        <v/>
      </c>
      <c r="K32" s="8">
        <f>ROUND(K31-M31+L31,8)</f>
        <v/>
      </c>
      <c r="L32" s="8">
        <f>IF(K32&lt;=0.000001,0,K32*$B$2/12)</f>
        <v/>
      </c>
      <c r="M32" s="8">
        <f>IF(K32&lt;=0.000001,0,MIN($K$3,K32+L32))</f>
        <v/>
      </c>
    </row>
    <row r="33">
      <c r="A33" s="4" t="n">
        <v>25</v>
      </c>
      <c r="B33" s="8">
        <f>ROUND(B32-D32+C32,8)</f>
        <v/>
      </c>
      <c r="C33" s="8">
        <f>IF(B33&lt;=0.000001,0,B33*$B$2/12)</f>
        <v/>
      </c>
      <c r="D33" s="8">
        <f>IF(B33&lt;=0.000001,0,MIN($B$3,B33+C33))</f>
        <v/>
      </c>
      <c r="E33" s="8">
        <f>ROUND(E32-G32+F32,8)</f>
        <v/>
      </c>
      <c r="F33" s="8">
        <f>IF(E33&lt;=0.000001,0,E33*$B$2/12)</f>
        <v/>
      </c>
      <c r="G33" s="8">
        <f>IF(E33&lt;=0.000001,0,MIN($E$3,E33+F33))</f>
        <v/>
      </c>
      <c r="H33" s="8">
        <f>ROUND(H32-J32+I32,8)</f>
        <v/>
      </c>
      <c r="I33" s="8">
        <f>IF(H33&lt;=0.000001,0,H33*$B$2/12)</f>
        <v/>
      </c>
      <c r="J33" s="8">
        <f>IF(H33&lt;=0.000001,0,MIN($H$3,H33+I33))</f>
        <v/>
      </c>
      <c r="K33" s="8">
        <f>ROUND(K32-M32+L32,8)</f>
        <v/>
      </c>
      <c r="L33" s="8">
        <f>IF(K33&lt;=0.000001,0,K33*$B$2/12)</f>
        <v/>
      </c>
      <c r="M33" s="8">
        <f>IF(K33&lt;=0.000001,0,MIN($K$3,K33+L33))</f>
        <v/>
      </c>
    </row>
    <row r="34">
      <c r="A34" s="4" t="n">
        <v>26</v>
      </c>
      <c r="B34" s="8">
        <f>ROUND(B33-D33+C33,8)</f>
        <v/>
      </c>
      <c r="C34" s="8">
        <f>IF(B34&lt;=0.000001,0,B34*$B$2/12)</f>
        <v/>
      </c>
      <c r="D34" s="8">
        <f>IF(B34&lt;=0.000001,0,MIN($B$3,B34+C34))</f>
        <v/>
      </c>
      <c r="E34" s="8">
        <f>ROUND(E33-G33+F33,8)</f>
        <v/>
      </c>
      <c r="F34" s="8">
        <f>IF(E34&lt;=0.000001,0,E34*$B$2/12)</f>
        <v/>
      </c>
      <c r="G34" s="8">
        <f>IF(E34&lt;=0.000001,0,MIN($E$3,E34+F34))</f>
        <v/>
      </c>
      <c r="H34" s="8">
        <f>ROUND(H33-J33+I33,8)</f>
        <v/>
      </c>
      <c r="I34" s="8">
        <f>IF(H34&lt;=0.000001,0,H34*$B$2/12)</f>
        <v/>
      </c>
      <c r="J34" s="8">
        <f>IF(H34&lt;=0.000001,0,MIN($H$3,H34+I34))</f>
        <v/>
      </c>
      <c r="K34" s="8">
        <f>ROUND(K33-M33+L33,8)</f>
        <v/>
      </c>
      <c r="L34" s="8">
        <f>IF(K34&lt;=0.000001,0,K34*$B$2/12)</f>
        <v/>
      </c>
      <c r="M34" s="8">
        <f>IF(K34&lt;=0.000001,0,MIN($K$3,K34+L34))</f>
        <v/>
      </c>
    </row>
    <row r="35">
      <c r="A35" s="4" t="n">
        <v>27</v>
      </c>
      <c r="B35" s="8">
        <f>ROUND(B34-D34+C34,8)</f>
        <v/>
      </c>
      <c r="C35" s="8">
        <f>IF(B35&lt;=0.000001,0,B35*$B$2/12)</f>
        <v/>
      </c>
      <c r="D35" s="8">
        <f>IF(B35&lt;=0.000001,0,MIN($B$3,B35+C35))</f>
        <v/>
      </c>
      <c r="E35" s="8">
        <f>ROUND(E34-G34+F34,8)</f>
        <v/>
      </c>
      <c r="F35" s="8">
        <f>IF(E35&lt;=0.000001,0,E35*$B$2/12)</f>
        <v/>
      </c>
      <c r="G35" s="8">
        <f>IF(E35&lt;=0.000001,0,MIN($E$3,E35+F35))</f>
        <v/>
      </c>
      <c r="H35" s="8">
        <f>ROUND(H34-J34+I34,8)</f>
        <v/>
      </c>
      <c r="I35" s="8">
        <f>IF(H35&lt;=0.000001,0,H35*$B$2/12)</f>
        <v/>
      </c>
      <c r="J35" s="8">
        <f>IF(H35&lt;=0.000001,0,MIN($H$3,H35+I35))</f>
        <v/>
      </c>
      <c r="K35" s="8">
        <f>ROUND(K34-M34+L34,8)</f>
        <v/>
      </c>
      <c r="L35" s="8">
        <f>IF(K35&lt;=0.000001,0,K35*$B$2/12)</f>
        <v/>
      </c>
      <c r="M35" s="8">
        <f>IF(K35&lt;=0.000001,0,MIN($K$3,K35+L35))</f>
        <v/>
      </c>
    </row>
    <row r="36">
      <c r="A36" s="4" t="n">
        <v>28</v>
      </c>
      <c r="B36" s="8">
        <f>ROUND(B35-D35+C35,8)</f>
        <v/>
      </c>
      <c r="C36" s="8">
        <f>IF(B36&lt;=0.000001,0,B36*$B$2/12)</f>
        <v/>
      </c>
      <c r="D36" s="8">
        <f>IF(B36&lt;=0.000001,0,MIN($B$3,B36+C36))</f>
        <v/>
      </c>
      <c r="E36" s="8">
        <f>ROUND(E35-G35+F35,8)</f>
        <v/>
      </c>
      <c r="F36" s="8">
        <f>IF(E36&lt;=0.000001,0,E36*$B$2/12)</f>
        <v/>
      </c>
      <c r="G36" s="8">
        <f>IF(E36&lt;=0.000001,0,MIN($E$3,E36+F36))</f>
        <v/>
      </c>
      <c r="H36" s="8">
        <f>ROUND(H35-J35+I35,8)</f>
        <v/>
      </c>
      <c r="I36" s="8">
        <f>IF(H36&lt;=0.000001,0,H36*$B$2/12)</f>
        <v/>
      </c>
      <c r="J36" s="8">
        <f>IF(H36&lt;=0.000001,0,MIN($H$3,H36+I36))</f>
        <v/>
      </c>
      <c r="K36" s="8">
        <f>ROUND(K35-M35+L35,8)</f>
        <v/>
      </c>
      <c r="L36" s="8">
        <f>IF(K36&lt;=0.000001,0,K36*$B$2/12)</f>
        <v/>
      </c>
      <c r="M36" s="8">
        <f>IF(K36&lt;=0.000001,0,MIN($K$3,K36+L36))</f>
        <v/>
      </c>
    </row>
    <row r="37">
      <c r="A37" s="4" t="n">
        <v>29</v>
      </c>
      <c r="B37" s="8">
        <f>ROUND(B36-D36+C36,8)</f>
        <v/>
      </c>
      <c r="C37" s="8">
        <f>IF(B37&lt;=0.000001,0,B37*$B$2/12)</f>
        <v/>
      </c>
      <c r="D37" s="8">
        <f>IF(B37&lt;=0.000001,0,MIN($B$3,B37+C37))</f>
        <v/>
      </c>
      <c r="E37" s="8">
        <f>ROUND(E36-G36+F36,8)</f>
        <v/>
      </c>
      <c r="F37" s="8">
        <f>IF(E37&lt;=0.000001,0,E37*$B$2/12)</f>
        <v/>
      </c>
      <c r="G37" s="8">
        <f>IF(E37&lt;=0.000001,0,MIN($E$3,E37+F37))</f>
        <v/>
      </c>
      <c r="H37" s="8">
        <f>ROUND(H36-J36+I36,8)</f>
        <v/>
      </c>
      <c r="I37" s="8">
        <f>IF(H37&lt;=0.000001,0,H37*$B$2/12)</f>
        <v/>
      </c>
      <c r="J37" s="8">
        <f>IF(H37&lt;=0.000001,0,MIN($H$3,H37+I37))</f>
        <v/>
      </c>
      <c r="K37" s="8">
        <f>ROUND(K36-M36+L36,8)</f>
        <v/>
      </c>
      <c r="L37" s="8">
        <f>IF(K37&lt;=0.000001,0,K37*$B$2/12)</f>
        <v/>
      </c>
      <c r="M37" s="8">
        <f>IF(K37&lt;=0.000001,0,MIN($K$3,K37+L37))</f>
        <v/>
      </c>
    </row>
    <row r="38">
      <c r="A38" s="4" t="n">
        <v>30</v>
      </c>
      <c r="B38" s="8">
        <f>ROUND(B37-D37+C37,8)</f>
        <v/>
      </c>
      <c r="C38" s="8">
        <f>IF(B38&lt;=0.000001,0,B38*$B$2/12)</f>
        <v/>
      </c>
      <c r="D38" s="8">
        <f>IF(B38&lt;=0.000001,0,MIN($B$3,B38+C38))</f>
        <v/>
      </c>
      <c r="E38" s="8">
        <f>ROUND(E37-G37+F37,8)</f>
        <v/>
      </c>
      <c r="F38" s="8">
        <f>IF(E38&lt;=0.000001,0,E38*$B$2/12)</f>
        <v/>
      </c>
      <c r="G38" s="8">
        <f>IF(E38&lt;=0.000001,0,MIN($E$3,E38+F38))</f>
        <v/>
      </c>
      <c r="H38" s="8">
        <f>ROUND(H37-J37+I37,8)</f>
        <v/>
      </c>
      <c r="I38" s="8">
        <f>IF(H38&lt;=0.000001,0,H38*$B$2/12)</f>
        <v/>
      </c>
      <c r="J38" s="8">
        <f>IF(H38&lt;=0.000001,0,MIN($H$3,H38+I38))</f>
        <v/>
      </c>
      <c r="K38" s="8">
        <f>ROUND(K37-M37+L37,8)</f>
        <v/>
      </c>
      <c r="L38" s="8">
        <f>IF(K38&lt;=0.000001,0,K38*$B$2/12)</f>
        <v/>
      </c>
      <c r="M38" s="8">
        <f>IF(K38&lt;=0.000001,0,MIN($K$3,K38+L38))</f>
        <v/>
      </c>
    </row>
    <row r="39">
      <c r="A39" s="4" t="n">
        <v>31</v>
      </c>
      <c r="B39" s="8">
        <f>ROUND(B38-D38+C38,8)</f>
        <v/>
      </c>
      <c r="C39" s="8">
        <f>IF(B39&lt;=0.000001,0,B39*$B$2/12)</f>
        <v/>
      </c>
      <c r="D39" s="8">
        <f>IF(B39&lt;=0.000001,0,MIN($B$3,B39+C39))</f>
        <v/>
      </c>
      <c r="E39" s="8">
        <f>ROUND(E38-G38+F38,8)</f>
        <v/>
      </c>
      <c r="F39" s="8">
        <f>IF(E39&lt;=0.000001,0,E39*$B$2/12)</f>
        <v/>
      </c>
      <c r="G39" s="8">
        <f>IF(E39&lt;=0.000001,0,MIN($E$3,E39+F39))</f>
        <v/>
      </c>
      <c r="H39" s="8">
        <f>ROUND(H38-J38+I38,8)</f>
        <v/>
      </c>
      <c r="I39" s="8">
        <f>IF(H39&lt;=0.000001,0,H39*$B$2/12)</f>
        <v/>
      </c>
      <c r="J39" s="8">
        <f>IF(H39&lt;=0.000001,0,MIN($H$3,H39+I39))</f>
        <v/>
      </c>
      <c r="K39" s="8">
        <f>ROUND(K38-M38+L38,8)</f>
        <v/>
      </c>
      <c r="L39" s="8">
        <f>IF(K39&lt;=0.000001,0,K39*$B$2/12)</f>
        <v/>
      </c>
      <c r="M39" s="8">
        <f>IF(K39&lt;=0.000001,0,MIN($K$3,K39+L39))</f>
        <v/>
      </c>
    </row>
    <row r="40">
      <c r="A40" s="4" t="n">
        <v>32</v>
      </c>
      <c r="B40" s="8">
        <f>ROUND(B39-D39+C39,8)</f>
        <v/>
      </c>
      <c r="C40" s="8">
        <f>IF(B40&lt;=0.000001,0,B40*$B$2/12)</f>
        <v/>
      </c>
      <c r="D40" s="8">
        <f>IF(B40&lt;=0.000001,0,MIN($B$3,B40+C40))</f>
        <v/>
      </c>
      <c r="E40" s="8">
        <f>ROUND(E39-G39+F39,8)</f>
        <v/>
      </c>
      <c r="F40" s="8">
        <f>IF(E40&lt;=0.000001,0,E40*$B$2/12)</f>
        <v/>
      </c>
      <c r="G40" s="8">
        <f>IF(E40&lt;=0.000001,0,MIN($E$3,E40+F40))</f>
        <v/>
      </c>
      <c r="H40" s="8">
        <f>ROUND(H39-J39+I39,8)</f>
        <v/>
      </c>
      <c r="I40" s="8">
        <f>IF(H40&lt;=0.000001,0,H40*$B$2/12)</f>
        <v/>
      </c>
      <c r="J40" s="8">
        <f>IF(H40&lt;=0.000001,0,MIN($H$3,H40+I40))</f>
        <v/>
      </c>
      <c r="K40" s="8">
        <f>ROUND(K39-M39+L39,8)</f>
        <v/>
      </c>
      <c r="L40" s="8">
        <f>IF(K40&lt;=0.000001,0,K40*$B$2/12)</f>
        <v/>
      </c>
      <c r="M40" s="8">
        <f>IF(K40&lt;=0.000001,0,MIN($K$3,K40+L40))</f>
        <v/>
      </c>
    </row>
    <row r="41">
      <c r="A41" s="4" t="n">
        <v>33</v>
      </c>
      <c r="B41" s="8">
        <f>ROUND(B40-D40+C40,8)</f>
        <v/>
      </c>
      <c r="C41" s="8">
        <f>IF(B41&lt;=0.000001,0,B41*$B$2/12)</f>
        <v/>
      </c>
      <c r="D41" s="8">
        <f>IF(B41&lt;=0.000001,0,MIN($B$3,B41+C41))</f>
        <v/>
      </c>
      <c r="E41" s="8">
        <f>ROUND(E40-G40+F40,8)</f>
        <v/>
      </c>
      <c r="F41" s="8">
        <f>IF(E41&lt;=0.000001,0,E41*$B$2/12)</f>
        <v/>
      </c>
      <c r="G41" s="8">
        <f>IF(E41&lt;=0.000001,0,MIN($E$3,E41+F41))</f>
        <v/>
      </c>
      <c r="H41" s="8">
        <f>ROUND(H40-J40+I40,8)</f>
        <v/>
      </c>
      <c r="I41" s="8">
        <f>IF(H41&lt;=0.000001,0,H41*$B$2/12)</f>
        <v/>
      </c>
      <c r="J41" s="8">
        <f>IF(H41&lt;=0.000001,0,MIN($H$3,H41+I41))</f>
        <v/>
      </c>
      <c r="K41" s="8">
        <f>ROUND(K40-M40+L40,8)</f>
        <v/>
      </c>
      <c r="L41" s="8">
        <f>IF(K41&lt;=0.000001,0,K41*$B$2/12)</f>
        <v/>
      </c>
      <c r="M41" s="8">
        <f>IF(K41&lt;=0.000001,0,MIN($K$3,K41+L41))</f>
        <v/>
      </c>
    </row>
    <row r="42">
      <c r="A42" s="4" t="n">
        <v>34</v>
      </c>
      <c r="B42" s="8">
        <f>ROUND(B41-D41+C41,8)</f>
        <v/>
      </c>
      <c r="C42" s="8">
        <f>IF(B42&lt;=0.000001,0,B42*$B$2/12)</f>
        <v/>
      </c>
      <c r="D42" s="8">
        <f>IF(B42&lt;=0.000001,0,MIN($B$3,B42+C42))</f>
        <v/>
      </c>
      <c r="E42" s="8">
        <f>ROUND(E41-G41+F41,8)</f>
        <v/>
      </c>
      <c r="F42" s="8">
        <f>IF(E42&lt;=0.000001,0,E42*$B$2/12)</f>
        <v/>
      </c>
      <c r="G42" s="8">
        <f>IF(E42&lt;=0.000001,0,MIN($E$3,E42+F42))</f>
        <v/>
      </c>
      <c r="H42" s="8">
        <f>ROUND(H41-J41+I41,8)</f>
        <v/>
      </c>
      <c r="I42" s="8">
        <f>IF(H42&lt;=0.000001,0,H42*$B$2/12)</f>
        <v/>
      </c>
      <c r="J42" s="8">
        <f>IF(H42&lt;=0.000001,0,MIN($H$3,H42+I42))</f>
        <v/>
      </c>
      <c r="K42" s="8">
        <f>ROUND(K41-M41+L41,8)</f>
        <v/>
      </c>
      <c r="L42" s="8">
        <f>IF(K42&lt;=0.000001,0,K42*$B$2/12)</f>
        <v/>
      </c>
      <c r="M42" s="8">
        <f>IF(K42&lt;=0.000001,0,MIN($K$3,K42+L42))</f>
        <v/>
      </c>
    </row>
    <row r="43">
      <c r="A43" s="4" t="n">
        <v>35</v>
      </c>
      <c r="B43" s="8">
        <f>ROUND(B42-D42+C42,8)</f>
        <v/>
      </c>
      <c r="C43" s="8">
        <f>IF(B43&lt;=0.000001,0,B43*$B$2/12)</f>
        <v/>
      </c>
      <c r="D43" s="8">
        <f>IF(B43&lt;=0.000001,0,MIN($B$3,B43+C43))</f>
        <v/>
      </c>
      <c r="E43" s="8">
        <f>ROUND(E42-G42+F42,8)</f>
        <v/>
      </c>
      <c r="F43" s="8">
        <f>IF(E43&lt;=0.000001,0,E43*$B$2/12)</f>
        <v/>
      </c>
      <c r="G43" s="8">
        <f>IF(E43&lt;=0.000001,0,MIN($E$3,E43+F43))</f>
        <v/>
      </c>
      <c r="H43" s="8">
        <f>ROUND(H42-J42+I42,8)</f>
        <v/>
      </c>
      <c r="I43" s="8">
        <f>IF(H43&lt;=0.000001,0,H43*$B$2/12)</f>
        <v/>
      </c>
      <c r="J43" s="8">
        <f>IF(H43&lt;=0.000001,0,MIN($H$3,H43+I43))</f>
        <v/>
      </c>
      <c r="K43" s="8">
        <f>ROUND(K42-M42+L42,8)</f>
        <v/>
      </c>
      <c r="L43" s="8">
        <f>IF(K43&lt;=0.000001,0,K43*$B$2/12)</f>
        <v/>
      </c>
      <c r="M43" s="8">
        <f>IF(K43&lt;=0.000001,0,MIN($K$3,K43+L43))</f>
        <v/>
      </c>
    </row>
    <row r="44">
      <c r="A44" s="4" t="n">
        <v>36</v>
      </c>
      <c r="B44" s="8">
        <f>ROUND(B43-D43+C43,8)</f>
        <v/>
      </c>
      <c r="C44" s="8">
        <f>IF(B44&lt;=0.000001,0,B44*$B$2/12)</f>
        <v/>
      </c>
      <c r="D44" s="8">
        <f>IF(B44&lt;=0.000001,0,MIN($B$3,B44+C44))</f>
        <v/>
      </c>
      <c r="E44" s="8">
        <f>ROUND(E43-G43+F43,8)</f>
        <v/>
      </c>
      <c r="F44" s="8">
        <f>IF(E44&lt;=0.000001,0,E44*$B$2/12)</f>
        <v/>
      </c>
      <c r="G44" s="8">
        <f>IF(E44&lt;=0.000001,0,MIN($E$3,E44+F44))</f>
        <v/>
      </c>
      <c r="H44" s="8">
        <f>ROUND(H43-J43+I43,8)</f>
        <v/>
      </c>
      <c r="I44" s="8">
        <f>IF(H44&lt;=0.000001,0,H44*$B$2/12)</f>
        <v/>
      </c>
      <c r="J44" s="8">
        <f>IF(H44&lt;=0.000001,0,MIN($H$3,H44+I44))</f>
        <v/>
      </c>
      <c r="K44" s="8">
        <f>ROUND(K43-M43+L43,8)</f>
        <v/>
      </c>
      <c r="L44" s="8">
        <f>IF(K44&lt;=0.000001,0,K44*$B$2/12)</f>
        <v/>
      </c>
      <c r="M44" s="8">
        <f>IF(K44&lt;=0.000001,0,MIN($K$3,K44+L44))</f>
        <v/>
      </c>
    </row>
    <row r="45">
      <c r="A45" s="4" t="n">
        <v>37</v>
      </c>
      <c r="B45" s="8">
        <f>ROUND(B44-D44+C44,8)</f>
        <v/>
      </c>
      <c r="C45" s="8">
        <f>IF(B45&lt;=0.000001,0,B45*$B$2/12)</f>
        <v/>
      </c>
      <c r="D45" s="8">
        <f>IF(B45&lt;=0.000001,0,MIN($B$3,B45+C45))</f>
        <v/>
      </c>
      <c r="E45" s="8">
        <f>ROUND(E44-G44+F44,8)</f>
        <v/>
      </c>
      <c r="F45" s="8">
        <f>IF(E45&lt;=0.000001,0,E45*$B$2/12)</f>
        <v/>
      </c>
      <c r="G45" s="8">
        <f>IF(E45&lt;=0.000001,0,MIN($E$3,E45+F45))</f>
        <v/>
      </c>
      <c r="H45" s="8">
        <f>ROUND(H44-J44+I44,8)</f>
        <v/>
      </c>
      <c r="I45" s="8">
        <f>IF(H45&lt;=0.000001,0,H45*$B$2/12)</f>
        <v/>
      </c>
      <c r="J45" s="8">
        <f>IF(H45&lt;=0.000001,0,MIN($H$3,H45+I45))</f>
        <v/>
      </c>
      <c r="K45" s="8">
        <f>ROUND(K44-M44+L44,8)</f>
        <v/>
      </c>
      <c r="L45" s="8">
        <f>IF(K45&lt;=0.000001,0,K45*$B$2/12)</f>
        <v/>
      </c>
      <c r="M45" s="8">
        <f>IF(K45&lt;=0.000001,0,MIN($K$3,K45+L45))</f>
        <v/>
      </c>
    </row>
    <row r="46">
      <c r="A46" s="4" t="n">
        <v>38</v>
      </c>
      <c r="B46" s="8">
        <f>ROUND(B45-D45+C45,8)</f>
        <v/>
      </c>
      <c r="C46" s="8">
        <f>IF(B46&lt;=0.000001,0,B46*$B$2/12)</f>
        <v/>
      </c>
      <c r="D46" s="8">
        <f>IF(B46&lt;=0.000001,0,MIN($B$3,B46+C46))</f>
        <v/>
      </c>
      <c r="E46" s="8">
        <f>ROUND(E45-G45+F45,8)</f>
        <v/>
      </c>
      <c r="F46" s="8">
        <f>IF(E46&lt;=0.000001,0,E46*$B$2/12)</f>
        <v/>
      </c>
      <c r="G46" s="8">
        <f>IF(E46&lt;=0.000001,0,MIN($E$3,E46+F46))</f>
        <v/>
      </c>
      <c r="H46" s="8">
        <f>ROUND(H45-J45+I45,8)</f>
        <v/>
      </c>
      <c r="I46" s="8">
        <f>IF(H46&lt;=0.000001,0,H46*$B$2/12)</f>
        <v/>
      </c>
      <c r="J46" s="8">
        <f>IF(H46&lt;=0.000001,0,MIN($H$3,H46+I46))</f>
        <v/>
      </c>
      <c r="K46" s="8">
        <f>ROUND(K45-M45+L45,8)</f>
        <v/>
      </c>
      <c r="L46" s="8">
        <f>IF(K46&lt;=0.000001,0,K46*$B$2/12)</f>
        <v/>
      </c>
      <c r="M46" s="8">
        <f>IF(K46&lt;=0.000001,0,MIN($K$3,K46+L46))</f>
        <v/>
      </c>
    </row>
    <row r="47">
      <c r="A47" s="4" t="n">
        <v>39</v>
      </c>
      <c r="B47" s="8">
        <f>ROUND(B46-D46+C46,8)</f>
        <v/>
      </c>
      <c r="C47" s="8">
        <f>IF(B47&lt;=0.000001,0,B47*$B$2/12)</f>
        <v/>
      </c>
      <c r="D47" s="8">
        <f>IF(B47&lt;=0.000001,0,MIN($B$3,B47+C47))</f>
        <v/>
      </c>
      <c r="E47" s="8">
        <f>ROUND(E46-G46+F46,8)</f>
        <v/>
      </c>
      <c r="F47" s="8">
        <f>IF(E47&lt;=0.000001,0,E47*$B$2/12)</f>
        <v/>
      </c>
      <c r="G47" s="8">
        <f>IF(E47&lt;=0.000001,0,MIN($E$3,E47+F47))</f>
        <v/>
      </c>
      <c r="H47" s="8">
        <f>ROUND(H46-J46+I46,8)</f>
        <v/>
      </c>
      <c r="I47" s="8">
        <f>IF(H47&lt;=0.000001,0,H47*$B$2/12)</f>
        <v/>
      </c>
      <c r="J47" s="8">
        <f>IF(H47&lt;=0.000001,0,MIN($H$3,H47+I47))</f>
        <v/>
      </c>
      <c r="K47" s="8">
        <f>ROUND(K46-M46+L46,8)</f>
        <v/>
      </c>
      <c r="L47" s="8">
        <f>IF(K47&lt;=0.000001,0,K47*$B$2/12)</f>
        <v/>
      </c>
      <c r="M47" s="8">
        <f>IF(K47&lt;=0.000001,0,MIN($K$3,K47+L47))</f>
        <v/>
      </c>
    </row>
    <row r="48">
      <c r="A48" s="4" t="n">
        <v>40</v>
      </c>
      <c r="B48" s="8">
        <f>ROUND(B47-D47+C47,8)</f>
        <v/>
      </c>
      <c r="C48" s="8">
        <f>IF(B48&lt;=0.000001,0,B48*$B$2/12)</f>
        <v/>
      </c>
      <c r="D48" s="8">
        <f>IF(B48&lt;=0.000001,0,MIN($B$3,B48+C48))</f>
        <v/>
      </c>
      <c r="E48" s="8">
        <f>ROUND(E47-G47+F47,8)</f>
        <v/>
      </c>
      <c r="F48" s="8">
        <f>IF(E48&lt;=0.000001,0,E48*$B$2/12)</f>
        <v/>
      </c>
      <c r="G48" s="8">
        <f>IF(E48&lt;=0.000001,0,MIN($E$3,E48+F48))</f>
        <v/>
      </c>
      <c r="H48" s="8">
        <f>ROUND(H47-J47+I47,8)</f>
        <v/>
      </c>
      <c r="I48" s="8">
        <f>IF(H48&lt;=0.000001,0,H48*$B$2/12)</f>
        <v/>
      </c>
      <c r="J48" s="8">
        <f>IF(H48&lt;=0.000001,0,MIN($H$3,H48+I48))</f>
        <v/>
      </c>
      <c r="K48" s="8">
        <f>ROUND(K47-M47+L47,8)</f>
        <v/>
      </c>
      <c r="L48" s="8">
        <f>IF(K48&lt;=0.000001,0,K48*$B$2/12)</f>
        <v/>
      </c>
      <c r="M48" s="8">
        <f>IF(K48&lt;=0.000001,0,MIN($K$3,K48+L48))</f>
        <v/>
      </c>
    </row>
    <row r="49">
      <c r="A49" s="4" t="n">
        <v>41</v>
      </c>
      <c r="B49" s="8">
        <f>ROUND(B48-D48+C48,8)</f>
        <v/>
      </c>
      <c r="C49" s="8">
        <f>IF(B49&lt;=0.000001,0,B49*$B$2/12)</f>
        <v/>
      </c>
      <c r="D49" s="8">
        <f>IF(B49&lt;=0.000001,0,MIN($B$3,B49+C49))</f>
        <v/>
      </c>
      <c r="E49" s="8">
        <f>ROUND(E48-G48+F48,8)</f>
        <v/>
      </c>
      <c r="F49" s="8">
        <f>IF(E49&lt;=0.000001,0,E49*$B$2/12)</f>
        <v/>
      </c>
      <c r="G49" s="8">
        <f>IF(E49&lt;=0.000001,0,MIN($E$3,E49+F49))</f>
        <v/>
      </c>
      <c r="H49" s="8">
        <f>ROUND(H48-J48+I48,8)</f>
        <v/>
      </c>
      <c r="I49" s="8">
        <f>IF(H49&lt;=0.000001,0,H49*$B$2/12)</f>
        <v/>
      </c>
      <c r="J49" s="8">
        <f>IF(H49&lt;=0.000001,0,MIN($H$3,H49+I49))</f>
        <v/>
      </c>
      <c r="K49" s="8">
        <f>ROUND(K48-M48+L48,8)</f>
        <v/>
      </c>
      <c r="L49" s="8">
        <f>IF(K49&lt;=0.000001,0,K49*$B$2/12)</f>
        <v/>
      </c>
      <c r="M49" s="8">
        <f>IF(K49&lt;=0.000001,0,MIN($K$3,K49+L49))</f>
        <v/>
      </c>
    </row>
    <row r="50">
      <c r="A50" s="4" t="n">
        <v>42</v>
      </c>
      <c r="B50" s="8">
        <f>ROUND(B49-D49+C49,8)</f>
        <v/>
      </c>
      <c r="C50" s="8">
        <f>IF(B50&lt;=0.000001,0,B50*$B$2/12)</f>
        <v/>
      </c>
      <c r="D50" s="8">
        <f>IF(B50&lt;=0.000001,0,MIN($B$3,B50+C50))</f>
        <v/>
      </c>
      <c r="E50" s="8">
        <f>ROUND(E49-G49+F49,8)</f>
        <v/>
      </c>
      <c r="F50" s="8">
        <f>IF(E50&lt;=0.000001,0,E50*$B$2/12)</f>
        <v/>
      </c>
      <c r="G50" s="8">
        <f>IF(E50&lt;=0.000001,0,MIN($E$3,E50+F50))</f>
        <v/>
      </c>
      <c r="H50" s="8">
        <f>ROUND(H49-J49+I49,8)</f>
        <v/>
      </c>
      <c r="I50" s="8">
        <f>IF(H50&lt;=0.000001,0,H50*$B$2/12)</f>
        <v/>
      </c>
      <c r="J50" s="8">
        <f>IF(H50&lt;=0.000001,0,MIN($H$3,H50+I50))</f>
        <v/>
      </c>
      <c r="K50" s="8">
        <f>ROUND(K49-M49+L49,8)</f>
        <v/>
      </c>
      <c r="L50" s="8">
        <f>IF(K50&lt;=0.000001,0,K50*$B$2/12)</f>
        <v/>
      </c>
      <c r="M50" s="8">
        <f>IF(K50&lt;=0.000001,0,MIN($K$3,K50+L50))</f>
        <v/>
      </c>
    </row>
    <row r="51">
      <c r="A51" s="4" t="n">
        <v>43</v>
      </c>
      <c r="B51" s="8">
        <f>ROUND(B50-D50+C50,8)</f>
        <v/>
      </c>
      <c r="C51" s="8">
        <f>IF(B51&lt;=0.000001,0,B51*$B$2/12)</f>
        <v/>
      </c>
      <c r="D51" s="8">
        <f>IF(B51&lt;=0.000001,0,MIN($B$3,B51+C51))</f>
        <v/>
      </c>
      <c r="E51" s="8">
        <f>ROUND(E50-G50+F50,8)</f>
        <v/>
      </c>
      <c r="F51" s="8">
        <f>IF(E51&lt;=0.000001,0,E51*$B$2/12)</f>
        <v/>
      </c>
      <c r="G51" s="8">
        <f>IF(E51&lt;=0.000001,0,MIN($E$3,E51+F51))</f>
        <v/>
      </c>
      <c r="H51" s="8">
        <f>ROUND(H50-J50+I50,8)</f>
        <v/>
      </c>
      <c r="I51" s="8">
        <f>IF(H51&lt;=0.000001,0,H51*$B$2/12)</f>
        <v/>
      </c>
      <c r="J51" s="8">
        <f>IF(H51&lt;=0.000001,0,MIN($H$3,H51+I51))</f>
        <v/>
      </c>
      <c r="K51" s="8">
        <f>ROUND(K50-M50+L50,8)</f>
        <v/>
      </c>
      <c r="L51" s="8">
        <f>IF(K51&lt;=0.000001,0,K51*$B$2/12)</f>
        <v/>
      </c>
      <c r="M51" s="8">
        <f>IF(K51&lt;=0.000001,0,MIN($K$3,K51+L51))</f>
        <v/>
      </c>
    </row>
    <row r="52">
      <c r="A52" s="4" t="n">
        <v>44</v>
      </c>
      <c r="B52" s="8">
        <f>ROUND(B51-D51+C51,8)</f>
        <v/>
      </c>
      <c r="C52" s="8">
        <f>IF(B52&lt;=0.000001,0,B52*$B$2/12)</f>
        <v/>
      </c>
      <c r="D52" s="8">
        <f>IF(B52&lt;=0.000001,0,MIN($B$3,B52+C52))</f>
        <v/>
      </c>
      <c r="E52" s="8">
        <f>ROUND(E51-G51+F51,8)</f>
        <v/>
      </c>
      <c r="F52" s="8">
        <f>IF(E52&lt;=0.000001,0,E52*$B$2/12)</f>
        <v/>
      </c>
      <c r="G52" s="8">
        <f>IF(E52&lt;=0.000001,0,MIN($E$3,E52+F52))</f>
        <v/>
      </c>
      <c r="H52" s="8">
        <f>ROUND(H51-J51+I51,8)</f>
        <v/>
      </c>
      <c r="I52" s="8">
        <f>IF(H52&lt;=0.000001,0,H52*$B$2/12)</f>
        <v/>
      </c>
      <c r="J52" s="8">
        <f>IF(H52&lt;=0.000001,0,MIN($H$3,H52+I52))</f>
        <v/>
      </c>
      <c r="K52" s="8">
        <f>ROUND(K51-M51+L51,8)</f>
        <v/>
      </c>
      <c r="L52" s="8">
        <f>IF(K52&lt;=0.000001,0,K52*$B$2/12)</f>
        <v/>
      </c>
      <c r="M52" s="8">
        <f>IF(K52&lt;=0.000001,0,MIN($K$3,K52+L52))</f>
        <v/>
      </c>
    </row>
    <row r="53">
      <c r="A53" s="4" t="n">
        <v>45</v>
      </c>
      <c r="B53" s="8">
        <f>ROUND(B52-D52+C52,8)</f>
        <v/>
      </c>
      <c r="C53" s="8">
        <f>IF(B53&lt;=0.000001,0,B53*$B$2/12)</f>
        <v/>
      </c>
      <c r="D53" s="8">
        <f>IF(B53&lt;=0.000001,0,MIN($B$3,B53+C53))</f>
        <v/>
      </c>
      <c r="E53" s="8">
        <f>ROUND(E52-G52+F52,8)</f>
        <v/>
      </c>
      <c r="F53" s="8">
        <f>IF(E53&lt;=0.000001,0,E53*$B$2/12)</f>
        <v/>
      </c>
      <c r="G53" s="8">
        <f>IF(E53&lt;=0.000001,0,MIN($E$3,E53+F53))</f>
        <v/>
      </c>
      <c r="H53" s="8">
        <f>ROUND(H52-J52+I52,8)</f>
        <v/>
      </c>
      <c r="I53" s="8">
        <f>IF(H53&lt;=0.000001,0,H53*$B$2/12)</f>
        <v/>
      </c>
      <c r="J53" s="8">
        <f>IF(H53&lt;=0.000001,0,MIN($H$3,H53+I53))</f>
        <v/>
      </c>
      <c r="K53" s="8">
        <f>ROUND(K52-M52+L52,8)</f>
        <v/>
      </c>
      <c r="L53" s="8">
        <f>IF(K53&lt;=0.000001,0,K53*$B$2/12)</f>
        <v/>
      </c>
      <c r="M53" s="8">
        <f>IF(K53&lt;=0.000001,0,MIN($K$3,K53+L53))</f>
        <v/>
      </c>
    </row>
    <row r="54">
      <c r="A54" s="4" t="n">
        <v>46</v>
      </c>
      <c r="B54" s="8">
        <f>ROUND(B53-D53+C53,8)</f>
        <v/>
      </c>
      <c r="C54" s="8">
        <f>IF(B54&lt;=0.000001,0,B54*$B$2/12)</f>
        <v/>
      </c>
      <c r="D54" s="8">
        <f>IF(B54&lt;=0.000001,0,MIN($B$3,B54+C54))</f>
        <v/>
      </c>
      <c r="E54" s="8">
        <f>ROUND(E53-G53+F53,8)</f>
        <v/>
      </c>
      <c r="F54" s="8">
        <f>IF(E54&lt;=0.000001,0,E54*$B$2/12)</f>
        <v/>
      </c>
      <c r="G54" s="8">
        <f>IF(E54&lt;=0.000001,0,MIN($E$3,E54+F54))</f>
        <v/>
      </c>
      <c r="H54" s="8">
        <f>ROUND(H53-J53+I53,8)</f>
        <v/>
      </c>
      <c r="I54" s="8">
        <f>IF(H54&lt;=0.000001,0,H54*$B$2/12)</f>
        <v/>
      </c>
      <c r="J54" s="8">
        <f>IF(H54&lt;=0.000001,0,MIN($H$3,H54+I54))</f>
        <v/>
      </c>
      <c r="K54" s="8">
        <f>ROUND(K53-M53+L53,8)</f>
        <v/>
      </c>
      <c r="L54" s="8">
        <f>IF(K54&lt;=0.000001,0,K54*$B$2/12)</f>
        <v/>
      </c>
      <c r="M54" s="8">
        <f>IF(K54&lt;=0.000001,0,MIN($K$3,K54+L54))</f>
        <v/>
      </c>
    </row>
    <row r="55">
      <c r="A55" s="4" t="n">
        <v>47</v>
      </c>
      <c r="B55" s="8">
        <f>ROUND(B54-D54+C54,8)</f>
        <v/>
      </c>
      <c r="C55" s="8">
        <f>IF(B55&lt;=0.000001,0,B55*$B$2/12)</f>
        <v/>
      </c>
      <c r="D55" s="8">
        <f>IF(B55&lt;=0.000001,0,MIN($B$3,B55+C55))</f>
        <v/>
      </c>
      <c r="E55" s="8">
        <f>ROUND(E54-G54+F54,8)</f>
        <v/>
      </c>
      <c r="F55" s="8">
        <f>IF(E55&lt;=0.000001,0,E55*$B$2/12)</f>
        <v/>
      </c>
      <c r="G55" s="8">
        <f>IF(E55&lt;=0.000001,0,MIN($E$3,E55+F55))</f>
        <v/>
      </c>
      <c r="H55" s="8">
        <f>ROUND(H54-J54+I54,8)</f>
        <v/>
      </c>
      <c r="I55" s="8">
        <f>IF(H55&lt;=0.000001,0,H55*$B$2/12)</f>
        <v/>
      </c>
      <c r="J55" s="8">
        <f>IF(H55&lt;=0.000001,0,MIN($H$3,H55+I55))</f>
        <v/>
      </c>
      <c r="K55" s="8">
        <f>ROUND(K54-M54+L54,8)</f>
        <v/>
      </c>
      <c r="L55" s="8">
        <f>IF(K55&lt;=0.000001,0,K55*$B$2/12)</f>
        <v/>
      </c>
      <c r="M55" s="8">
        <f>IF(K55&lt;=0.000001,0,MIN($K$3,K55+L55))</f>
        <v/>
      </c>
    </row>
    <row r="56">
      <c r="A56" s="4" t="n">
        <v>48</v>
      </c>
      <c r="B56" s="8">
        <f>ROUND(B55-D55+C55,8)</f>
        <v/>
      </c>
      <c r="C56" s="8">
        <f>IF(B56&lt;=0.000001,0,B56*$B$2/12)</f>
        <v/>
      </c>
      <c r="D56" s="8">
        <f>IF(B56&lt;=0.000001,0,MIN($B$3,B56+C56))</f>
        <v/>
      </c>
      <c r="E56" s="8">
        <f>ROUND(E55-G55+F55,8)</f>
        <v/>
      </c>
      <c r="F56" s="8">
        <f>IF(E56&lt;=0.000001,0,E56*$B$2/12)</f>
        <v/>
      </c>
      <c r="G56" s="8">
        <f>IF(E56&lt;=0.000001,0,MIN($E$3,E56+F56))</f>
        <v/>
      </c>
      <c r="H56" s="8">
        <f>ROUND(H55-J55+I55,8)</f>
        <v/>
      </c>
      <c r="I56" s="8">
        <f>IF(H56&lt;=0.000001,0,H56*$B$2/12)</f>
        <v/>
      </c>
      <c r="J56" s="8">
        <f>IF(H56&lt;=0.000001,0,MIN($H$3,H56+I56))</f>
        <v/>
      </c>
      <c r="K56" s="8">
        <f>ROUND(K55-M55+L55,8)</f>
        <v/>
      </c>
      <c r="L56" s="8">
        <f>IF(K56&lt;=0.000001,0,K56*$B$2/12)</f>
        <v/>
      </c>
      <c r="M56" s="8">
        <f>IF(K56&lt;=0.000001,0,MIN($K$3,K56+L56))</f>
        <v/>
      </c>
    </row>
    <row r="57">
      <c r="A57" s="4" t="n">
        <v>49</v>
      </c>
      <c r="B57" s="8">
        <f>ROUND(B56-D56+C56,8)</f>
        <v/>
      </c>
      <c r="C57" s="8">
        <f>IF(B57&lt;=0.000001,0,B57*$B$2/12)</f>
        <v/>
      </c>
      <c r="D57" s="8">
        <f>IF(B57&lt;=0.000001,0,MIN($B$3,B57+C57))</f>
        <v/>
      </c>
      <c r="E57" s="8">
        <f>ROUND(E56-G56+F56,8)</f>
        <v/>
      </c>
      <c r="F57" s="8">
        <f>IF(E57&lt;=0.000001,0,E57*$B$2/12)</f>
        <v/>
      </c>
      <c r="G57" s="8">
        <f>IF(E57&lt;=0.000001,0,MIN($E$3,E57+F57))</f>
        <v/>
      </c>
      <c r="H57" s="8">
        <f>ROUND(H56-J56+I56,8)</f>
        <v/>
      </c>
      <c r="I57" s="8">
        <f>IF(H57&lt;=0.000001,0,H57*$B$2/12)</f>
        <v/>
      </c>
      <c r="J57" s="8">
        <f>IF(H57&lt;=0.000001,0,MIN($H$3,H57+I57))</f>
        <v/>
      </c>
      <c r="K57" s="8">
        <f>ROUND(K56-M56+L56,8)</f>
        <v/>
      </c>
      <c r="L57" s="8">
        <f>IF(K57&lt;=0.000001,0,K57*$B$2/12)</f>
        <v/>
      </c>
      <c r="M57" s="8">
        <f>IF(K57&lt;=0.000001,0,MIN($K$3,K57+L57))</f>
        <v/>
      </c>
    </row>
    <row r="58">
      <c r="A58" s="4" t="n">
        <v>50</v>
      </c>
      <c r="B58" s="8">
        <f>ROUND(B57-D57+C57,8)</f>
        <v/>
      </c>
      <c r="C58" s="8">
        <f>IF(B58&lt;=0.000001,0,B58*$B$2/12)</f>
        <v/>
      </c>
      <c r="D58" s="8">
        <f>IF(B58&lt;=0.000001,0,MIN($B$3,B58+C58))</f>
        <v/>
      </c>
      <c r="E58" s="8">
        <f>ROUND(E57-G57+F57,8)</f>
        <v/>
      </c>
      <c r="F58" s="8">
        <f>IF(E58&lt;=0.000001,0,E58*$B$2/12)</f>
        <v/>
      </c>
      <c r="G58" s="8">
        <f>IF(E58&lt;=0.000001,0,MIN($E$3,E58+F58))</f>
        <v/>
      </c>
      <c r="H58" s="8">
        <f>ROUND(H57-J57+I57,8)</f>
        <v/>
      </c>
      <c r="I58" s="8">
        <f>IF(H58&lt;=0.000001,0,H58*$B$2/12)</f>
        <v/>
      </c>
      <c r="J58" s="8">
        <f>IF(H58&lt;=0.000001,0,MIN($H$3,H58+I58))</f>
        <v/>
      </c>
      <c r="K58" s="8">
        <f>ROUND(K57-M57+L57,8)</f>
        <v/>
      </c>
      <c r="L58" s="8">
        <f>IF(K58&lt;=0.000001,0,K58*$B$2/12)</f>
        <v/>
      </c>
      <c r="M58" s="8">
        <f>IF(K58&lt;=0.000001,0,MIN($K$3,K58+L58))</f>
        <v/>
      </c>
    </row>
    <row r="59">
      <c r="A59" s="4" t="n">
        <v>51</v>
      </c>
      <c r="B59" s="8">
        <f>ROUND(B58-D58+C58,8)</f>
        <v/>
      </c>
      <c r="C59" s="8">
        <f>IF(B59&lt;=0.000001,0,B59*$B$2/12)</f>
        <v/>
      </c>
      <c r="D59" s="8">
        <f>IF(B59&lt;=0.000001,0,MIN($B$3,B59+C59))</f>
        <v/>
      </c>
      <c r="E59" s="8">
        <f>ROUND(E58-G58+F58,8)</f>
        <v/>
      </c>
      <c r="F59" s="8">
        <f>IF(E59&lt;=0.000001,0,E59*$B$2/12)</f>
        <v/>
      </c>
      <c r="G59" s="8">
        <f>IF(E59&lt;=0.000001,0,MIN($E$3,E59+F59))</f>
        <v/>
      </c>
      <c r="H59" s="8">
        <f>ROUND(H58-J58+I58,8)</f>
        <v/>
      </c>
      <c r="I59" s="8">
        <f>IF(H59&lt;=0.000001,0,H59*$B$2/12)</f>
        <v/>
      </c>
      <c r="J59" s="8">
        <f>IF(H59&lt;=0.000001,0,MIN($H$3,H59+I59))</f>
        <v/>
      </c>
      <c r="K59" s="8">
        <f>ROUND(K58-M58+L58,8)</f>
        <v/>
      </c>
      <c r="L59" s="8">
        <f>IF(K59&lt;=0.000001,0,K59*$B$2/12)</f>
        <v/>
      </c>
      <c r="M59" s="8">
        <f>IF(K59&lt;=0.000001,0,MIN($K$3,K59+L59))</f>
        <v/>
      </c>
    </row>
    <row r="60">
      <c r="A60" s="4" t="n">
        <v>52</v>
      </c>
      <c r="B60" s="8">
        <f>ROUND(B59-D59+C59,8)</f>
        <v/>
      </c>
      <c r="C60" s="8">
        <f>IF(B60&lt;=0.000001,0,B60*$B$2/12)</f>
        <v/>
      </c>
      <c r="D60" s="8">
        <f>IF(B60&lt;=0.000001,0,MIN($B$3,B60+C60))</f>
        <v/>
      </c>
      <c r="E60" s="8">
        <f>ROUND(E59-G59+F59,8)</f>
        <v/>
      </c>
      <c r="F60" s="8">
        <f>IF(E60&lt;=0.000001,0,E60*$B$2/12)</f>
        <v/>
      </c>
      <c r="G60" s="8">
        <f>IF(E60&lt;=0.000001,0,MIN($E$3,E60+F60))</f>
        <v/>
      </c>
      <c r="H60" s="8">
        <f>ROUND(H59-J59+I59,8)</f>
        <v/>
      </c>
      <c r="I60" s="8">
        <f>IF(H60&lt;=0.000001,0,H60*$B$2/12)</f>
        <v/>
      </c>
      <c r="J60" s="8">
        <f>IF(H60&lt;=0.000001,0,MIN($H$3,H60+I60))</f>
        <v/>
      </c>
      <c r="K60" s="8">
        <f>ROUND(K59-M59+L59,8)</f>
        <v/>
      </c>
      <c r="L60" s="8">
        <f>IF(K60&lt;=0.000001,0,K60*$B$2/12)</f>
        <v/>
      </c>
      <c r="M60" s="8">
        <f>IF(K60&lt;=0.000001,0,MIN($K$3,K60+L60))</f>
        <v/>
      </c>
    </row>
    <row r="61">
      <c r="A61" s="4" t="n">
        <v>53</v>
      </c>
      <c r="B61" s="8">
        <f>ROUND(B60-D60+C60,8)</f>
        <v/>
      </c>
      <c r="C61" s="8">
        <f>IF(B61&lt;=0.000001,0,B61*$B$2/12)</f>
        <v/>
      </c>
      <c r="D61" s="8">
        <f>IF(B61&lt;=0.000001,0,MIN($B$3,B61+C61))</f>
        <v/>
      </c>
      <c r="E61" s="8">
        <f>ROUND(E60-G60+F60,8)</f>
        <v/>
      </c>
      <c r="F61" s="8">
        <f>IF(E61&lt;=0.000001,0,E61*$B$2/12)</f>
        <v/>
      </c>
      <c r="G61" s="8">
        <f>IF(E61&lt;=0.000001,0,MIN($E$3,E61+F61))</f>
        <v/>
      </c>
      <c r="H61" s="8">
        <f>ROUND(H60-J60+I60,8)</f>
        <v/>
      </c>
      <c r="I61" s="8">
        <f>IF(H61&lt;=0.000001,0,H61*$B$2/12)</f>
        <v/>
      </c>
      <c r="J61" s="8">
        <f>IF(H61&lt;=0.000001,0,MIN($H$3,H61+I61))</f>
        <v/>
      </c>
      <c r="K61" s="8">
        <f>ROUND(K60-M60+L60,8)</f>
        <v/>
      </c>
      <c r="L61" s="8">
        <f>IF(K61&lt;=0.000001,0,K61*$B$2/12)</f>
        <v/>
      </c>
      <c r="M61" s="8">
        <f>IF(K61&lt;=0.000001,0,MIN($K$3,K61+L61))</f>
        <v/>
      </c>
    </row>
    <row r="62">
      <c r="A62" s="4" t="n">
        <v>54</v>
      </c>
      <c r="B62" s="8">
        <f>ROUND(B61-D61+C61,8)</f>
        <v/>
      </c>
      <c r="C62" s="8">
        <f>IF(B62&lt;=0.000001,0,B62*$B$2/12)</f>
        <v/>
      </c>
      <c r="D62" s="8">
        <f>IF(B62&lt;=0.000001,0,MIN($B$3,B62+C62))</f>
        <v/>
      </c>
      <c r="E62" s="8">
        <f>ROUND(E61-G61+F61,8)</f>
        <v/>
      </c>
      <c r="F62" s="8">
        <f>IF(E62&lt;=0.000001,0,E62*$B$2/12)</f>
        <v/>
      </c>
      <c r="G62" s="8">
        <f>IF(E62&lt;=0.000001,0,MIN($E$3,E62+F62))</f>
        <v/>
      </c>
      <c r="H62" s="8">
        <f>ROUND(H61-J61+I61,8)</f>
        <v/>
      </c>
      <c r="I62" s="8">
        <f>IF(H62&lt;=0.000001,0,H62*$B$2/12)</f>
        <v/>
      </c>
      <c r="J62" s="8">
        <f>IF(H62&lt;=0.000001,0,MIN($H$3,H62+I62))</f>
        <v/>
      </c>
      <c r="K62" s="8">
        <f>ROUND(K61-M61+L61,8)</f>
        <v/>
      </c>
      <c r="L62" s="8">
        <f>IF(K62&lt;=0.000001,0,K62*$B$2/12)</f>
        <v/>
      </c>
      <c r="M62" s="8">
        <f>IF(K62&lt;=0.000001,0,MIN($K$3,K62+L62))</f>
        <v/>
      </c>
    </row>
    <row r="63">
      <c r="A63" s="4" t="n">
        <v>55</v>
      </c>
      <c r="B63" s="8">
        <f>ROUND(B62-D62+C62,8)</f>
        <v/>
      </c>
      <c r="C63" s="8">
        <f>IF(B63&lt;=0.000001,0,B63*$B$2/12)</f>
        <v/>
      </c>
      <c r="D63" s="8">
        <f>IF(B63&lt;=0.000001,0,MIN($B$3,B63+C63))</f>
        <v/>
      </c>
      <c r="E63" s="8">
        <f>ROUND(E62-G62+F62,8)</f>
        <v/>
      </c>
      <c r="F63" s="8">
        <f>IF(E63&lt;=0.000001,0,E63*$B$2/12)</f>
        <v/>
      </c>
      <c r="G63" s="8">
        <f>IF(E63&lt;=0.000001,0,MIN($E$3,E63+F63))</f>
        <v/>
      </c>
      <c r="H63" s="8">
        <f>ROUND(H62-J62+I62,8)</f>
        <v/>
      </c>
      <c r="I63" s="8">
        <f>IF(H63&lt;=0.000001,0,H63*$B$2/12)</f>
        <v/>
      </c>
      <c r="J63" s="8">
        <f>IF(H63&lt;=0.000001,0,MIN($H$3,H63+I63))</f>
        <v/>
      </c>
      <c r="K63" s="8">
        <f>ROUND(K62-M62+L62,8)</f>
        <v/>
      </c>
      <c r="L63" s="8">
        <f>IF(K63&lt;=0.000001,0,K63*$B$2/12)</f>
        <v/>
      </c>
      <c r="M63" s="8">
        <f>IF(K63&lt;=0.000001,0,MIN($K$3,K63+L63))</f>
        <v/>
      </c>
    </row>
    <row r="64">
      <c r="A64" s="4" t="n">
        <v>56</v>
      </c>
      <c r="B64" s="8">
        <f>ROUND(B63-D63+C63,8)</f>
        <v/>
      </c>
      <c r="C64" s="8">
        <f>IF(B64&lt;=0.000001,0,B64*$B$2/12)</f>
        <v/>
      </c>
      <c r="D64" s="8">
        <f>IF(B64&lt;=0.000001,0,MIN($B$3,B64+C64))</f>
        <v/>
      </c>
      <c r="E64" s="8">
        <f>ROUND(E63-G63+F63,8)</f>
        <v/>
      </c>
      <c r="F64" s="8">
        <f>IF(E64&lt;=0.000001,0,E64*$B$2/12)</f>
        <v/>
      </c>
      <c r="G64" s="8">
        <f>IF(E64&lt;=0.000001,0,MIN($E$3,E64+F64))</f>
        <v/>
      </c>
      <c r="H64" s="8">
        <f>ROUND(H63-J63+I63,8)</f>
        <v/>
      </c>
      <c r="I64" s="8">
        <f>IF(H64&lt;=0.000001,0,H64*$B$2/12)</f>
        <v/>
      </c>
      <c r="J64" s="8">
        <f>IF(H64&lt;=0.000001,0,MIN($H$3,H64+I64))</f>
        <v/>
      </c>
      <c r="K64" s="8">
        <f>ROUND(K63-M63+L63,8)</f>
        <v/>
      </c>
      <c r="L64" s="8">
        <f>IF(K64&lt;=0.000001,0,K64*$B$2/12)</f>
        <v/>
      </c>
      <c r="M64" s="8">
        <f>IF(K64&lt;=0.000001,0,MIN($K$3,K64+L64))</f>
        <v/>
      </c>
    </row>
    <row r="65">
      <c r="A65" s="4" t="n">
        <v>57</v>
      </c>
      <c r="B65" s="8">
        <f>ROUND(B64-D64+C64,8)</f>
        <v/>
      </c>
      <c r="C65" s="8">
        <f>IF(B65&lt;=0.000001,0,B65*$B$2/12)</f>
        <v/>
      </c>
      <c r="D65" s="8">
        <f>IF(B65&lt;=0.000001,0,MIN($B$3,B65+C65))</f>
        <v/>
      </c>
      <c r="E65" s="8">
        <f>ROUND(E64-G64+F64,8)</f>
        <v/>
      </c>
      <c r="F65" s="8">
        <f>IF(E65&lt;=0.000001,0,E65*$B$2/12)</f>
        <v/>
      </c>
      <c r="G65" s="8">
        <f>IF(E65&lt;=0.000001,0,MIN($E$3,E65+F65))</f>
        <v/>
      </c>
      <c r="H65" s="8">
        <f>ROUND(H64-J64+I64,8)</f>
        <v/>
      </c>
      <c r="I65" s="8">
        <f>IF(H65&lt;=0.000001,0,H65*$B$2/12)</f>
        <v/>
      </c>
      <c r="J65" s="8">
        <f>IF(H65&lt;=0.000001,0,MIN($H$3,H65+I65))</f>
        <v/>
      </c>
      <c r="K65" s="8">
        <f>ROUND(K64-M64+L64,8)</f>
        <v/>
      </c>
      <c r="L65" s="8">
        <f>IF(K65&lt;=0.000001,0,K65*$B$2/12)</f>
        <v/>
      </c>
      <c r="M65" s="8">
        <f>IF(K65&lt;=0.000001,0,MIN($K$3,K65+L65))</f>
        <v/>
      </c>
    </row>
    <row r="66">
      <c r="A66" s="4" t="n">
        <v>58</v>
      </c>
      <c r="B66" s="8">
        <f>ROUND(B65-D65+C65,8)</f>
        <v/>
      </c>
      <c r="C66" s="8">
        <f>IF(B66&lt;=0.000001,0,B66*$B$2/12)</f>
        <v/>
      </c>
      <c r="D66" s="8">
        <f>IF(B66&lt;=0.000001,0,MIN($B$3,B66+C66))</f>
        <v/>
      </c>
      <c r="E66" s="8">
        <f>ROUND(E65-G65+F65,8)</f>
        <v/>
      </c>
      <c r="F66" s="8">
        <f>IF(E66&lt;=0.000001,0,E66*$B$2/12)</f>
        <v/>
      </c>
      <c r="G66" s="8">
        <f>IF(E66&lt;=0.000001,0,MIN($E$3,E66+F66))</f>
        <v/>
      </c>
      <c r="H66" s="8">
        <f>ROUND(H65-J65+I65,8)</f>
        <v/>
      </c>
      <c r="I66" s="8">
        <f>IF(H66&lt;=0.000001,0,H66*$B$2/12)</f>
        <v/>
      </c>
      <c r="J66" s="8">
        <f>IF(H66&lt;=0.000001,0,MIN($H$3,H66+I66))</f>
        <v/>
      </c>
      <c r="K66" s="8">
        <f>ROUND(K65-M65+L65,8)</f>
        <v/>
      </c>
      <c r="L66" s="8">
        <f>IF(K66&lt;=0.000001,0,K66*$B$2/12)</f>
        <v/>
      </c>
      <c r="M66" s="8">
        <f>IF(K66&lt;=0.000001,0,MIN($K$3,K66+L66))</f>
        <v/>
      </c>
    </row>
    <row r="67">
      <c r="A67" s="4" t="n">
        <v>59</v>
      </c>
      <c r="B67" s="8">
        <f>ROUND(B66-D66+C66,8)</f>
        <v/>
      </c>
      <c r="C67" s="8">
        <f>IF(B67&lt;=0.000001,0,B67*$B$2/12)</f>
        <v/>
      </c>
      <c r="D67" s="8">
        <f>IF(B67&lt;=0.000001,0,MIN($B$3,B67+C67))</f>
        <v/>
      </c>
      <c r="E67" s="8">
        <f>ROUND(E66-G66+F66,8)</f>
        <v/>
      </c>
      <c r="F67" s="8">
        <f>IF(E67&lt;=0.000001,0,E67*$B$2/12)</f>
        <v/>
      </c>
      <c r="G67" s="8">
        <f>IF(E67&lt;=0.000001,0,MIN($E$3,E67+F67))</f>
        <v/>
      </c>
      <c r="H67" s="8">
        <f>ROUND(H66-J66+I66,8)</f>
        <v/>
      </c>
      <c r="I67" s="8">
        <f>IF(H67&lt;=0.000001,0,H67*$B$2/12)</f>
        <v/>
      </c>
      <c r="J67" s="8">
        <f>IF(H67&lt;=0.000001,0,MIN($H$3,H67+I67))</f>
        <v/>
      </c>
      <c r="K67" s="8">
        <f>ROUND(K66-M66+L66,8)</f>
        <v/>
      </c>
      <c r="L67" s="8">
        <f>IF(K67&lt;=0.000001,0,K67*$B$2/12)</f>
        <v/>
      </c>
      <c r="M67" s="8">
        <f>IF(K67&lt;=0.000001,0,MIN($K$3,K67+L67))</f>
        <v/>
      </c>
    </row>
    <row r="68">
      <c r="A68" s="4" t="n">
        <v>60</v>
      </c>
      <c r="B68" s="8">
        <f>ROUND(B67-D67+C67,8)</f>
        <v/>
      </c>
      <c r="C68" s="8">
        <f>IF(B68&lt;=0.000001,0,B68*$B$2/12)</f>
        <v/>
      </c>
      <c r="D68" s="8">
        <f>IF(B68&lt;=0.000001,0,MIN($B$3,B68+C68))</f>
        <v/>
      </c>
      <c r="E68" s="8">
        <f>ROUND(E67-G67+F67,8)</f>
        <v/>
      </c>
      <c r="F68" s="8">
        <f>IF(E68&lt;=0.000001,0,E68*$B$2/12)</f>
        <v/>
      </c>
      <c r="G68" s="8">
        <f>IF(E68&lt;=0.000001,0,MIN($E$3,E68+F68))</f>
        <v/>
      </c>
      <c r="H68" s="8">
        <f>ROUND(H67-J67+I67,8)</f>
        <v/>
      </c>
      <c r="I68" s="8">
        <f>IF(H68&lt;=0.000001,0,H68*$B$2/12)</f>
        <v/>
      </c>
      <c r="J68" s="8">
        <f>IF(H68&lt;=0.000001,0,MIN($H$3,H68+I68))</f>
        <v/>
      </c>
      <c r="K68" s="8">
        <f>ROUND(K67-M67+L67,8)</f>
        <v/>
      </c>
      <c r="L68" s="8">
        <f>IF(K68&lt;=0.000001,0,K68*$B$2/12)</f>
        <v/>
      </c>
      <c r="M68" s="8">
        <f>IF(K68&lt;=0.000001,0,MIN($K$3,K68+L68))</f>
        <v/>
      </c>
    </row>
    <row r="69">
      <c r="A69" s="4" t="n">
        <v>61</v>
      </c>
      <c r="B69" s="8">
        <f>ROUND(B68-D68+C68,8)</f>
        <v/>
      </c>
      <c r="C69" s="8">
        <f>IF(B69&lt;=0.000001,0,B69*$B$2/12)</f>
        <v/>
      </c>
      <c r="D69" s="8">
        <f>IF(B69&lt;=0.000001,0,MIN($B$3,B69+C69))</f>
        <v/>
      </c>
      <c r="E69" s="8">
        <f>ROUND(E68-G68+F68,8)</f>
        <v/>
      </c>
      <c r="F69" s="8">
        <f>IF(E69&lt;=0.000001,0,E69*$B$2/12)</f>
        <v/>
      </c>
      <c r="G69" s="8">
        <f>IF(E69&lt;=0.000001,0,MIN($E$3,E69+F69))</f>
        <v/>
      </c>
      <c r="H69" s="8">
        <f>ROUND(H68-J68+I68,8)</f>
        <v/>
      </c>
      <c r="I69" s="8">
        <f>IF(H69&lt;=0.000001,0,H69*$B$2/12)</f>
        <v/>
      </c>
      <c r="J69" s="8">
        <f>IF(H69&lt;=0.000001,0,MIN($H$3,H69+I69))</f>
        <v/>
      </c>
      <c r="K69" s="8">
        <f>ROUND(K68-M68+L68,8)</f>
        <v/>
      </c>
      <c r="L69" s="8">
        <f>IF(K69&lt;=0.000001,0,K69*$B$2/12)</f>
        <v/>
      </c>
      <c r="M69" s="8">
        <f>IF(K69&lt;=0.000001,0,MIN($K$3,K69+L69))</f>
        <v/>
      </c>
    </row>
    <row r="70">
      <c r="A70" s="4" t="n">
        <v>62</v>
      </c>
      <c r="B70" s="8">
        <f>ROUND(B69-D69+C69,8)</f>
        <v/>
      </c>
      <c r="C70" s="8">
        <f>IF(B70&lt;=0.000001,0,B70*$B$2/12)</f>
        <v/>
      </c>
      <c r="D70" s="8">
        <f>IF(B70&lt;=0.000001,0,MIN($B$3,B70+C70))</f>
        <v/>
      </c>
      <c r="E70" s="8">
        <f>ROUND(E69-G69+F69,8)</f>
        <v/>
      </c>
      <c r="F70" s="8">
        <f>IF(E70&lt;=0.000001,0,E70*$B$2/12)</f>
        <v/>
      </c>
      <c r="G70" s="8">
        <f>IF(E70&lt;=0.000001,0,MIN($E$3,E70+F70))</f>
        <v/>
      </c>
      <c r="H70" s="8">
        <f>ROUND(H69-J69+I69,8)</f>
        <v/>
      </c>
      <c r="I70" s="8">
        <f>IF(H70&lt;=0.000001,0,H70*$B$2/12)</f>
        <v/>
      </c>
      <c r="J70" s="8">
        <f>IF(H70&lt;=0.000001,0,MIN($H$3,H70+I70))</f>
        <v/>
      </c>
      <c r="K70" s="8">
        <f>ROUND(K69-M69+L69,8)</f>
        <v/>
      </c>
      <c r="L70" s="8">
        <f>IF(K70&lt;=0.000001,0,K70*$B$2/12)</f>
        <v/>
      </c>
      <c r="M70" s="8">
        <f>IF(K70&lt;=0.000001,0,MIN($K$3,K70+L70))</f>
        <v/>
      </c>
    </row>
    <row r="71">
      <c r="A71" s="4" t="n">
        <v>63</v>
      </c>
      <c r="B71" s="8">
        <f>ROUND(B70-D70+C70,8)</f>
        <v/>
      </c>
      <c r="C71" s="8">
        <f>IF(B71&lt;=0.000001,0,B71*$B$2/12)</f>
        <v/>
      </c>
      <c r="D71" s="8">
        <f>IF(B71&lt;=0.000001,0,MIN($B$3,B71+C71))</f>
        <v/>
      </c>
      <c r="E71" s="8">
        <f>ROUND(E70-G70+F70,8)</f>
        <v/>
      </c>
      <c r="F71" s="8">
        <f>IF(E71&lt;=0.000001,0,E71*$B$2/12)</f>
        <v/>
      </c>
      <c r="G71" s="8">
        <f>IF(E71&lt;=0.000001,0,MIN($E$3,E71+F71))</f>
        <v/>
      </c>
      <c r="H71" s="8">
        <f>ROUND(H70-J70+I70,8)</f>
        <v/>
      </c>
      <c r="I71" s="8">
        <f>IF(H71&lt;=0.000001,0,H71*$B$2/12)</f>
        <v/>
      </c>
      <c r="J71" s="8">
        <f>IF(H71&lt;=0.000001,0,MIN($H$3,H71+I71))</f>
        <v/>
      </c>
      <c r="K71" s="8">
        <f>ROUND(K70-M70+L70,8)</f>
        <v/>
      </c>
      <c r="L71" s="8">
        <f>IF(K71&lt;=0.000001,0,K71*$B$2/12)</f>
        <v/>
      </c>
      <c r="M71" s="8">
        <f>IF(K71&lt;=0.000001,0,MIN($K$3,K71+L71))</f>
        <v/>
      </c>
    </row>
    <row r="72">
      <c r="A72" s="4" t="n">
        <v>64</v>
      </c>
      <c r="B72" s="8">
        <f>ROUND(B71-D71+C71,8)</f>
        <v/>
      </c>
      <c r="C72" s="8">
        <f>IF(B72&lt;=0.000001,0,B72*$B$2/12)</f>
        <v/>
      </c>
      <c r="D72" s="8">
        <f>IF(B72&lt;=0.000001,0,MIN($B$3,B72+C72))</f>
        <v/>
      </c>
      <c r="E72" s="8">
        <f>ROUND(E71-G71+F71,8)</f>
        <v/>
      </c>
      <c r="F72" s="8">
        <f>IF(E72&lt;=0.000001,0,E72*$B$2/12)</f>
        <v/>
      </c>
      <c r="G72" s="8">
        <f>IF(E72&lt;=0.000001,0,MIN($E$3,E72+F72))</f>
        <v/>
      </c>
      <c r="H72" s="8">
        <f>ROUND(H71-J71+I71,8)</f>
        <v/>
      </c>
      <c r="I72" s="8">
        <f>IF(H72&lt;=0.000001,0,H72*$B$2/12)</f>
        <v/>
      </c>
      <c r="J72" s="8">
        <f>IF(H72&lt;=0.000001,0,MIN($H$3,H72+I72))</f>
        <v/>
      </c>
      <c r="K72" s="8">
        <f>ROUND(K71-M71+L71,8)</f>
        <v/>
      </c>
      <c r="L72" s="8">
        <f>IF(K72&lt;=0.000001,0,K72*$B$2/12)</f>
        <v/>
      </c>
      <c r="M72" s="8">
        <f>IF(K72&lt;=0.000001,0,MIN($K$3,K72+L72))</f>
        <v/>
      </c>
    </row>
    <row r="73">
      <c r="A73" s="4" t="n">
        <v>65</v>
      </c>
      <c r="B73" s="8">
        <f>ROUND(B72-D72+C72,8)</f>
        <v/>
      </c>
      <c r="C73" s="8">
        <f>IF(B73&lt;=0.000001,0,B73*$B$2/12)</f>
        <v/>
      </c>
      <c r="D73" s="8">
        <f>IF(B73&lt;=0.000001,0,MIN($B$3,B73+C73))</f>
        <v/>
      </c>
      <c r="E73" s="8">
        <f>ROUND(E72-G72+F72,8)</f>
        <v/>
      </c>
      <c r="F73" s="8">
        <f>IF(E73&lt;=0.000001,0,E73*$B$2/12)</f>
        <v/>
      </c>
      <c r="G73" s="8">
        <f>IF(E73&lt;=0.000001,0,MIN($E$3,E73+F73))</f>
        <v/>
      </c>
      <c r="H73" s="8">
        <f>ROUND(H72-J72+I72,8)</f>
        <v/>
      </c>
      <c r="I73" s="8">
        <f>IF(H73&lt;=0.000001,0,H73*$B$2/12)</f>
        <v/>
      </c>
      <c r="J73" s="8">
        <f>IF(H73&lt;=0.000001,0,MIN($H$3,H73+I73))</f>
        <v/>
      </c>
      <c r="K73" s="8">
        <f>ROUND(K72-M72+L72,8)</f>
        <v/>
      </c>
      <c r="L73" s="8">
        <f>IF(K73&lt;=0.000001,0,K73*$B$2/12)</f>
        <v/>
      </c>
      <c r="M73" s="8">
        <f>IF(K73&lt;=0.000001,0,MIN($K$3,K73+L73))</f>
        <v/>
      </c>
    </row>
    <row r="74">
      <c r="A74" s="4" t="n">
        <v>66</v>
      </c>
      <c r="B74" s="8">
        <f>ROUND(B73-D73+C73,8)</f>
        <v/>
      </c>
      <c r="C74" s="8">
        <f>IF(B74&lt;=0.000001,0,B74*$B$2/12)</f>
        <v/>
      </c>
      <c r="D74" s="8">
        <f>IF(B74&lt;=0.000001,0,MIN($B$3,B74+C74))</f>
        <v/>
      </c>
      <c r="E74" s="8">
        <f>ROUND(E73-G73+F73,8)</f>
        <v/>
      </c>
      <c r="F74" s="8">
        <f>IF(E74&lt;=0.000001,0,E74*$B$2/12)</f>
        <v/>
      </c>
      <c r="G74" s="8">
        <f>IF(E74&lt;=0.000001,0,MIN($E$3,E74+F74))</f>
        <v/>
      </c>
      <c r="H74" s="8">
        <f>ROUND(H73-J73+I73,8)</f>
        <v/>
      </c>
      <c r="I74" s="8">
        <f>IF(H74&lt;=0.000001,0,H74*$B$2/12)</f>
        <v/>
      </c>
      <c r="J74" s="8">
        <f>IF(H74&lt;=0.000001,0,MIN($H$3,H74+I74))</f>
        <v/>
      </c>
      <c r="K74" s="8">
        <f>ROUND(K73-M73+L73,8)</f>
        <v/>
      </c>
      <c r="L74" s="8">
        <f>IF(K74&lt;=0.000001,0,K74*$B$2/12)</f>
        <v/>
      </c>
      <c r="M74" s="8">
        <f>IF(K74&lt;=0.000001,0,MIN($K$3,K74+L74))</f>
        <v/>
      </c>
    </row>
    <row r="75">
      <c r="A75" s="4" t="n">
        <v>67</v>
      </c>
      <c r="B75" s="8">
        <f>ROUND(B74-D74+C74,8)</f>
        <v/>
      </c>
      <c r="C75" s="8">
        <f>IF(B75&lt;=0.000001,0,B75*$B$2/12)</f>
        <v/>
      </c>
      <c r="D75" s="8">
        <f>IF(B75&lt;=0.000001,0,MIN($B$3,B75+C75))</f>
        <v/>
      </c>
      <c r="E75" s="8">
        <f>ROUND(E74-G74+F74,8)</f>
        <v/>
      </c>
      <c r="F75" s="8">
        <f>IF(E75&lt;=0.000001,0,E75*$B$2/12)</f>
        <v/>
      </c>
      <c r="G75" s="8">
        <f>IF(E75&lt;=0.000001,0,MIN($E$3,E75+F75))</f>
        <v/>
      </c>
      <c r="H75" s="8">
        <f>ROUND(H74-J74+I74,8)</f>
        <v/>
      </c>
      <c r="I75" s="8">
        <f>IF(H75&lt;=0.000001,0,H75*$B$2/12)</f>
        <v/>
      </c>
      <c r="J75" s="8">
        <f>IF(H75&lt;=0.000001,0,MIN($H$3,H75+I75))</f>
        <v/>
      </c>
      <c r="K75" s="8">
        <f>ROUND(K74-M74+L74,8)</f>
        <v/>
      </c>
      <c r="L75" s="8">
        <f>IF(K75&lt;=0.000001,0,K75*$B$2/12)</f>
        <v/>
      </c>
      <c r="M75" s="8">
        <f>IF(K75&lt;=0.000001,0,MIN($K$3,K75+L75))</f>
        <v/>
      </c>
    </row>
    <row r="76">
      <c r="A76" s="4" t="n">
        <v>68</v>
      </c>
      <c r="B76" s="8">
        <f>ROUND(B75-D75+C75,8)</f>
        <v/>
      </c>
      <c r="C76" s="8">
        <f>IF(B76&lt;=0.000001,0,B76*$B$2/12)</f>
        <v/>
      </c>
      <c r="D76" s="8">
        <f>IF(B76&lt;=0.000001,0,MIN($B$3,B76+C76))</f>
        <v/>
      </c>
      <c r="E76" s="8">
        <f>ROUND(E75-G75+F75,8)</f>
        <v/>
      </c>
      <c r="F76" s="8">
        <f>IF(E76&lt;=0.000001,0,E76*$B$2/12)</f>
        <v/>
      </c>
      <c r="G76" s="8">
        <f>IF(E76&lt;=0.000001,0,MIN($E$3,E76+F76))</f>
        <v/>
      </c>
      <c r="H76" s="8">
        <f>ROUND(H75-J75+I75,8)</f>
        <v/>
      </c>
      <c r="I76" s="8">
        <f>IF(H76&lt;=0.000001,0,H76*$B$2/12)</f>
        <v/>
      </c>
      <c r="J76" s="8">
        <f>IF(H76&lt;=0.000001,0,MIN($H$3,H76+I76))</f>
        <v/>
      </c>
      <c r="K76" s="8">
        <f>ROUND(K75-M75+L75,8)</f>
        <v/>
      </c>
      <c r="L76" s="8">
        <f>IF(K76&lt;=0.000001,0,K76*$B$2/12)</f>
        <v/>
      </c>
      <c r="M76" s="8">
        <f>IF(K76&lt;=0.000001,0,MIN($K$3,K76+L76))</f>
        <v/>
      </c>
    </row>
    <row r="77">
      <c r="A77" s="4" t="n">
        <v>69</v>
      </c>
      <c r="B77" s="8">
        <f>ROUND(B76-D76+C76,8)</f>
        <v/>
      </c>
      <c r="C77" s="8">
        <f>IF(B77&lt;=0.000001,0,B77*$B$2/12)</f>
        <v/>
      </c>
      <c r="D77" s="8">
        <f>IF(B77&lt;=0.000001,0,MIN($B$3,B77+C77))</f>
        <v/>
      </c>
      <c r="E77" s="8">
        <f>ROUND(E76-G76+F76,8)</f>
        <v/>
      </c>
      <c r="F77" s="8">
        <f>IF(E77&lt;=0.000001,0,E77*$B$2/12)</f>
        <v/>
      </c>
      <c r="G77" s="8">
        <f>IF(E77&lt;=0.000001,0,MIN($E$3,E77+F77))</f>
        <v/>
      </c>
      <c r="H77" s="8">
        <f>ROUND(H76-J76+I76,8)</f>
        <v/>
      </c>
      <c r="I77" s="8">
        <f>IF(H77&lt;=0.000001,0,H77*$B$2/12)</f>
        <v/>
      </c>
      <c r="J77" s="8">
        <f>IF(H77&lt;=0.000001,0,MIN($H$3,H77+I77))</f>
        <v/>
      </c>
      <c r="K77" s="8">
        <f>ROUND(K76-M76+L76,8)</f>
        <v/>
      </c>
      <c r="L77" s="8">
        <f>IF(K77&lt;=0.000001,0,K77*$B$2/12)</f>
        <v/>
      </c>
      <c r="M77" s="8">
        <f>IF(K77&lt;=0.000001,0,MIN($K$3,K77+L77))</f>
        <v/>
      </c>
    </row>
    <row r="78">
      <c r="A78" s="4" t="n">
        <v>70</v>
      </c>
      <c r="B78" s="8">
        <f>ROUND(B77-D77+C77,8)</f>
        <v/>
      </c>
      <c r="C78" s="8">
        <f>IF(B78&lt;=0.000001,0,B78*$B$2/12)</f>
        <v/>
      </c>
      <c r="D78" s="8">
        <f>IF(B78&lt;=0.000001,0,MIN($B$3,B78+C78))</f>
        <v/>
      </c>
      <c r="E78" s="8">
        <f>ROUND(E77-G77+F77,8)</f>
        <v/>
      </c>
      <c r="F78" s="8">
        <f>IF(E78&lt;=0.000001,0,E78*$B$2/12)</f>
        <v/>
      </c>
      <c r="G78" s="8">
        <f>IF(E78&lt;=0.000001,0,MIN($E$3,E78+F78))</f>
        <v/>
      </c>
      <c r="H78" s="8">
        <f>ROUND(H77-J77+I77,8)</f>
        <v/>
      </c>
      <c r="I78" s="8">
        <f>IF(H78&lt;=0.000001,0,H78*$B$2/12)</f>
        <v/>
      </c>
      <c r="J78" s="8">
        <f>IF(H78&lt;=0.000001,0,MIN($H$3,H78+I78))</f>
        <v/>
      </c>
      <c r="K78" s="8">
        <f>ROUND(K77-M77+L77,8)</f>
        <v/>
      </c>
      <c r="L78" s="8">
        <f>IF(K78&lt;=0.000001,0,K78*$B$2/12)</f>
        <v/>
      </c>
      <c r="M78" s="8">
        <f>IF(K78&lt;=0.000001,0,MIN($K$3,K78+L78))</f>
        <v/>
      </c>
    </row>
    <row r="79">
      <c r="A79" s="4" t="n">
        <v>71</v>
      </c>
      <c r="B79" s="8">
        <f>ROUND(B78-D78+C78,8)</f>
        <v/>
      </c>
      <c r="C79" s="8">
        <f>IF(B79&lt;=0.000001,0,B79*$B$2/12)</f>
        <v/>
      </c>
      <c r="D79" s="8">
        <f>IF(B79&lt;=0.000001,0,MIN($B$3,B79+C79))</f>
        <v/>
      </c>
      <c r="E79" s="8">
        <f>ROUND(E78-G78+F78,8)</f>
        <v/>
      </c>
      <c r="F79" s="8">
        <f>IF(E79&lt;=0.000001,0,E79*$B$2/12)</f>
        <v/>
      </c>
      <c r="G79" s="8">
        <f>IF(E79&lt;=0.000001,0,MIN($E$3,E79+F79))</f>
        <v/>
      </c>
      <c r="H79" s="8">
        <f>ROUND(H78-J78+I78,8)</f>
        <v/>
      </c>
      <c r="I79" s="8">
        <f>IF(H79&lt;=0.000001,0,H79*$B$2/12)</f>
        <v/>
      </c>
      <c r="J79" s="8">
        <f>IF(H79&lt;=0.000001,0,MIN($H$3,H79+I79))</f>
        <v/>
      </c>
      <c r="K79" s="8">
        <f>ROUND(K78-M78+L78,8)</f>
        <v/>
      </c>
      <c r="L79" s="8">
        <f>IF(K79&lt;=0.000001,0,K79*$B$2/12)</f>
        <v/>
      </c>
      <c r="M79" s="8">
        <f>IF(K79&lt;=0.000001,0,MIN($K$3,K79+L79))</f>
        <v/>
      </c>
    </row>
    <row r="80">
      <c r="A80" s="4" t="n">
        <v>72</v>
      </c>
      <c r="B80" s="8">
        <f>ROUND(B79-D79+C79,8)</f>
        <v/>
      </c>
      <c r="C80" s="8">
        <f>IF(B80&lt;=0.000001,0,B80*$B$2/12)</f>
        <v/>
      </c>
      <c r="D80" s="8">
        <f>IF(B80&lt;=0.000001,0,MIN($B$3,B80+C80))</f>
        <v/>
      </c>
      <c r="E80" s="8">
        <f>ROUND(E79-G79+F79,8)</f>
        <v/>
      </c>
      <c r="F80" s="8">
        <f>IF(E80&lt;=0.000001,0,E80*$B$2/12)</f>
        <v/>
      </c>
      <c r="G80" s="8">
        <f>IF(E80&lt;=0.000001,0,MIN($E$3,E80+F80))</f>
        <v/>
      </c>
      <c r="H80" s="8">
        <f>ROUND(H79-J79+I79,8)</f>
        <v/>
      </c>
      <c r="I80" s="8">
        <f>IF(H80&lt;=0.000001,0,H80*$B$2/12)</f>
        <v/>
      </c>
      <c r="J80" s="8">
        <f>IF(H80&lt;=0.000001,0,MIN($H$3,H80+I80))</f>
        <v/>
      </c>
      <c r="K80" s="8">
        <f>ROUND(K79-M79+L79,8)</f>
        <v/>
      </c>
      <c r="L80" s="8">
        <f>IF(K80&lt;=0.000001,0,K80*$B$2/12)</f>
        <v/>
      </c>
      <c r="M80" s="8">
        <f>IF(K80&lt;=0.000001,0,MIN($K$3,K80+L80))</f>
        <v/>
      </c>
    </row>
    <row r="81">
      <c r="A81" s="4" t="n">
        <v>73</v>
      </c>
      <c r="B81" s="8">
        <f>ROUND(B80-D80+C80,8)</f>
        <v/>
      </c>
      <c r="C81" s="8">
        <f>IF(B81&lt;=0.000001,0,B81*$B$2/12)</f>
        <v/>
      </c>
      <c r="D81" s="8">
        <f>IF(B81&lt;=0.000001,0,MIN($B$3,B81+C81))</f>
        <v/>
      </c>
      <c r="E81" s="8">
        <f>ROUND(E80-G80+F80,8)</f>
        <v/>
      </c>
      <c r="F81" s="8">
        <f>IF(E81&lt;=0.000001,0,E81*$B$2/12)</f>
        <v/>
      </c>
      <c r="G81" s="8">
        <f>IF(E81&lt;=0.000001,0,MIN($E$3,E81+F81))</f>
        <v/>
      </c>
      <c r="H81" s="8">
        <f>ROUND(H80-J80+I80,8)</f>
        <v/>
      </c>
      <c r="I81" s="8">
        <f>IF(H81&lt;=0.000001,0,H81*$B$2/12)</f>
        <v/>
      </c>
      <c r="J81" s="8">
        <f>IF(H81&lt;=0.000001,0,MIN($H$3,H81+I81))</f>
        <v/>
      </c>
      <c r="K81" s="8">
        <f>ROUND(K80-M80+L80,8)</f>
        <v/>
      </c>
      <c r="L81" s="8">
        <f>IF(K81&lt;=0.000001,0,K81*$B$2/12)</f>
        <v/>
      </c>
      <c r="M81" s="8">
        <f>IF(K81&lt;=0.000001,0,MIN($K$3,K81+L81))</f>
        <v/>
      </c>
    </row>
    <row r="82">
      <c r="A82" s="4" t="n">
        <v>74</v>
      </c>
      <c r="B82" s="8">
        <f>ROUND(B81-D81+C81,8)</f>
        <v/>
      </c>
      <c r="C82" s="8">
        <f>IF(B82&lt;=0.000001,0,B82*$B$2/12)</f>
        <v/>
      </c>
      <c r="D82" s="8">
        <f>IF(B82&lt;=0.000001,0,MIN($B$3,B82+C82))</f>
        <v/>
      </c>
      <c r="E82" s="8">
        <f>ROUND(E81-G81+F81,8)</f>
        <v/>
      </c>
      <c r="F82" s="8">
        <f>IF(E82&lt;=0.000001,0,E82*$B$2/12)</f>
        <v/>
      </c>
      <c r="G82" s="8">
        <f>IF(E82&lt;=0.000001,0,MIN($E$3,E82+F82))</f>
        <v/>
      </c>
      <c r="H82" s="8">
        <f>ROUND(H81-J81+I81,8)</f>
        <v/>
      </c>
      <c r="I82" s="8">
        <f>IF(H82&lt;=0.000001,0,H82*$B$2/12)</f>
        <v/>
      </c>
      <c r="J82" s="8">
        <f>IF(H82&lt;=0.000001,0,MIN($H$3,H82+I82))</f>
        <v/>
      </c>
      <c r="K82" s="8">
        <f>ROUND(K81-M81+L81,8)</f>
        <v/>
      </c>
      <c r="L82" s="8">
        <f>IF(K82&lt;=0.000001,0,K82*$B$2/12)</f>
        <v/>
      </c>
      <c r="M82" s="8">
        <f>IF(K82&lt;=0.000001,0,MIN($K$3,K82+L82))</f>
        <v/>
      </c>
    </row>
    <row r="83">
      <c r="A83" s="4" t="n">
        <v>75</v>
      </c>
      <c r="B83" s="8">
        <f>ROUND(B82-D82+C82,8)</f>
        <v/>
      </c>
      <c r="C83" s="8">
        <f>IF(B83&lt;=0.000001,0,B83*$B$2/12)</f>
        <v/>
      </c>
      <c r="D83" s="8">
        <f>IF(B83&lt;=0.000001,0,MIN($B$3,B83+C83))</f>
        <v/>
      </c>
      <c r="E83" s="8">
        <f>ROUND(E82-G82+F82,8)</f>
        <v/>
      </c>
      <c r="F83" s="8">
        <f>IF(E83&lt;=0.000001,0,E83*$B$2/12)</f>
        <v/>
      </c>
      <c r="G83" s="8">
        <f>IF(E83&lt;=0.000001,0,MIN($E$3,E83+F83))</f>
        <v/>
      </c>
      <c r="H83" s="8">
        <f>ROUND(H82-J82+I82,8)</f>
        <v/>
      </c>
      <c r="I83" s="8">
        <f>IF(H83&lt;=0.000001,0,H83*$B$2/12)</f>
        <v/>
      </c>
      <c r="J83" s="8">
        <f>IF(H83&lt;=0.000001,0,MIN($H$3,H83+I83))</f>
        <v/>
      </c>
      <c r="K83" s="8">
        <f>ROUND(K82-M82+L82,8)</f>
        <v/>
      </c>
      <c r="L83" s="8">
        <f>IF(K83&lt;=0.000001,0,K83*$B$2/12)</f>
        <v/>
      </c>
      <c r="M83" s="8">
        <f>IF(K83&lt;=0.000001,0,MIN($K$3,K83+L83))</f>
        <v/>
      </c>
    </row>
    <row r="84">
      <c r="A84" s="4" t="n">
        <v>76</v>
      </c>
      <c r="B84" s="8">
        <f>ROUND(B83-D83+C83,8)</f>
        <v/>
      </c>
      <c r="C84" s="8">
        <f>IF(B84&lt;=0.000001,0,B84*$B$2/12)</f>
        <v/>
      </c>
      <c r="D84" s="8">
        <f>IF(B84&lt;=0.000001,0,MIN($B$3,B84+C84))</f>
        <v/>
      </c>
      <c r="E84" s="8">
        <f>ROUND(E83-G83+F83,8)</f>
        <v/>
      </c>
      <c r="F84" s="8">
        <f>IF(E84&lt;=0.000001,0,E84*$B$2/12)</f>
        <v/>
      </c>
      <c r="G84" s="8">
        <f>IF(E84&lt;=0.000001,0,MIN($E$3,E84+F84))</f>
        <v/>
      </c>
      <c r="H84" s="8">
        <f>ROUND(H83-J83+I83,8)</f>
        <v/>
      </c>
      <c r="I84" s="8">
        <f>IF(H84&lt;=0.000001,0,H84*$B$2/12)</f>
        <v/>
      </c>
      <c r="J84" s="8">
        <f>IF(H84&lt;=0.000001,0,MIN($H$3,H84+I84))</f>
        <v/>
      </c>
      <c r="K84" s="8">
        <f>ROUND(K83-M83+L83,8)</f>
        <v/>
      </c>
      <c r="L84" s="8">
        <f>IF(K84&lt;=0.000001,0,K84*$B$2/12)</f>
        <v/>
      </c>
      <c r="M84" s="8">
        <f>IF(K84&lt;=0.000001,0,MIN($K$3,K84+L84))</f>
        <v/>
      </c>
    </row>
    <row r="85">
      <c r="A85" s="4" t="n">
        <v>77</v>
      </c>
      <c r="B85" s="8">
        <f>ROUND(B84-D84+C84,8)</f>
        <v/>
      </c>
      <c r="C85" s="8">
        <f>IF(B85&lt;=0.000001,0,B85*$B$2/12)</f>
        <v/>
      </c>
      <c r="D85" s="8">
        <f>IF(B85&lt;=0.000001,0,MIN($B$3,B85+C85))</f>
        <v/>
      </c>
      <c r="E85" s="8">
        <f>ROUND(E84-G84+F84,8)</f>
        <v/>
      </c>
      <c r="F85" s="8">
        <f>IF(E85&lt;=0.000001,0,E85*$B$2/12)</f>
        <v/>
      </c>
      <c r="G85" s="8">
        <f>IF(E85&lt;=0.000001,0,MIN($E$3,E85+F85))</f>
        <v/>
      </c>
      <c r="H85" s="8">
        <f>ROUND(H84-J84+I84,8)</f>
        <v/>
      </c>
      <c r="I85" s="8">
        <f>IF(H85&lt;=0.000001,0,H85*$B$2/12)</f>
        <v/>
      </c>
      <c r="J85" s="8">
        <f>IF(H85&lt;=0.000001,0,MIN($H$3,H85+I85))</f>
        <v/>
      </c>
      <c r="K85" s="8">
        <f>ROUND(K84-M84+L84,8)</f>
        <v/>
      </c>
      <c r="L85" s="8">
        <f>IF(K85&lt;=0.000001,0,K85*$B$2/12)</f>
        <v/>
      </c>
      <c r="M85" s="8">
        <f>IF(K85&lt;=0.000001,0,MIN($K$3,K85+L85))</f>
        <v/>
      </c>
    </row>
    <row r="86">
      <c r="A86" s="4" t="n">
        <v>78</v>
      </c>
      <c r="B86" s="8">
        <f>ROUND(B85-D85+C85,8)</f>
        <v/>
      </c>
      <c r="C86" s="8">
        <f>IF(B86&lt;=0.000001,0,B86*$B$2/12)</f>
        <v/>
      </c>
      <c r="D86" s="8">
        <f>IF(B86&lt;=0.000001,0,MIN($B$3,B86+C86))</f>
        <v/>
      </c>
      <c r="E86" s="8">
        <f>ROUND(E85-G85+F85,8)</f>
        <v/>
      </c>
      <c r="F86" s="8">
        <f>IF(E86&lt;=0.000001,0,E86*$B$2/12)</f>
        <v/>
      </c>
      <c r="G86" s="8">
        <f>IF(E86&lt;=0.000001,0,MIN($E$3,E86+F86))</f>
        <v/>
      </c>
      <c r="H86" s="8">
        <f>ROUND(H85-J85+I85,8)</f>
        <v/>
      </c>
      <c r="I86" s="8">
        <f>IF(H86&lt;=0.000001,0,H86*$B$2/12)</f>
        <v/>
      </c>
      <c r="J86" s="8">
        <f>IF(H86&lt;=0.000001,0,MIN($H$3,H86+I86))</f>
        <v/>
      </c>
      <c r="K86" s="8">
        <f>ROUND(K85-M85+L85,8)</f>
        <v/>
      </c>
      <c r="L86" s="8">
        <f>IF(K86&lt;=0.000001,0,K86*$B$2/12)</f>
        <v/>
      </c>
      <c r="M86" s="8">
        <f>IF(K86&lt;=0.000001,0,MIN($K$3,K86+L86))</f>
        <v/>
      </c>
    </row>
    <row r="87">
      <c r="A87" s="4" t="n">
        <v>79</v>
      </c>
      <c r="B87" s="8">
        <f>ROUND(B86-D86+C86,8)</f>
        <v/>
      </c>
      <c r="C87" s="8">
        <f>IF(B87&lt;=0.000001,0,B87*$B$2/12)</f>
        <v/>
      </c>
      <c r="D87" s="8">
        <f>IF(B87&lt;=0.000001,0,MIN($B$3,B87+C87))</f>
        <v/>
      </c>
      <c r="E87" s="8">
        <f>ROUND(E86-G86+F86,8)</f>
        <v/>
      </c>
      <c r="F87" s="8">
        <f>IF(E87&lt;=0.000001,0,E87*$B$2/12)</f>
        <v/>
      </c>
      <c r="G87" s="8">
        <f>IF(E87&lt;=0.000001,0,MIN($E$3,E87+F87))</f>
        <v/>
      </c>
      <c r="H87" s="8">
        <f>ROUND(H86-J86+I86,8)</f>
        <v/>
      </c>
      <c r="I87" s="8">
        <f>IF(H87&lt;=0.000001,0,H87*$B$2/12)</f>
        <v/>
      </c>
      <c r="J87" s="8">
        <f>IF(H87&lt;=0.000001,0,MIN($H$3,H87+I87))</f>
        <v/>
      </c>
      <c r="K87" s="8">
        <f>ROUND(K86-M86+L86,8)</f>
        <v/>
      </c>
      <c r="L87" s="8">
        <f>IF(K87&lt;=0.000001,0,K87*$B$2/12)</f>
        <v/>
      </c>
      <c r="M87" s="8">
        <f>IF(K87&lt;=0.000001,0,MIN($K$3,K87+L87))</f>
        <v/>
      </c>
    </row>
    <row r="88">
      <c r="A88" s="4" t="n">
        <v>80</v>
      </c>
      <c r="B88" s="8">
        <f>ROUND(B87-D87+C87,8)</f>
        <v/>
      </c>
      <c r="C88" s="8">
        <f>IF(B88&lt;=0.000001,0,B88*$B$2/12)</f>
        <v/>
      </c>
      <c r="D88" s="8">
        <f>IF(B88&lt;=0.000001,0,MIN($B$3,B88+C88))</f>
        <v/>
      </c>
      <c r="E88" s="8">
        <f>ROUND(E87-G87+F87,8)</f>
        <v/>
      </c>
      <c r="F88" s="8">
        <f>IF(E88&lt;=0.000001,0,E88*$B$2/12)</f>
        <v/>
      </c>
      <c r="G88" s="8">
        <f>IF(E88&lt;=0.000001,0,MIN($E$3,E88+F88))</f>
        <v/>
      </c>
      <c r="H88" s="8">
        <f>ROUND(H87-J87+I87,8)</f>
        <v/>
      </c>
      <c r="I88" s="8">
        <f>IF(H88&lt;=0.000001,0,H88*$B$2/12)</f>
        <v/>
      </c>
      <c r="J88" s="8">
        <f>IF(H88&lt;=0.000001,0,MIN($H$3,H88+I88))</f>
        <v/>
      </c>
      <c r="K88" s="8">
        <f>ROUND(K87-M87+L87,8)</f>
        <v/>
      </c>
      <c r="L88" s="8">
        <f>IF(K88&lt;=0.000001,0,K88*$B$2/12)</f>
        <v/>
      </c>
      <c r="M88" s="8">
        <f>IF(K88&lt;=0.000001,0,MIN($K$3,K88+L88))</f>
        <v/>
      </c>
    </row>
    <row r="89">
      <c r="A89" s="4" t="n">
        <v>81</v>
      </c>
      <c r="B89" s="8">
        <f>ROUND(B88-D88+C88,8)</f>
        <v/>
      </c>
      <c r="C89" s="8">
        <f>IF(B89&lt;=0.000001,0,B89*$B$2/12)</f>
        <v/>
      </c>
      <c r="D89" s="8">
        <f>IF(B89&lt;=0.000001,0,MIN($B$3,B89+C89))</f>
        <v/>
      </c>
      <c r="E89" s="8">
        <f>ROUND(E88-G88+F88,8)</f>
        <v/>
      </c>
      <c r="F89" s="8">
        <f>IF(E89&lt;=0.000001,0,E89*$B$2/12)</f>
        <v/>
      </c>
      <c r="G89" s="8">
        <f>IF(E89&lt;=0.000001,0,MIN($E$3,E89+F89))</f>
        <v/>
      </c>
      <c r="H89" s="8">
        <f>ROUND(H88-J88+I88,8)</f>
        <v/>
      </c>
      <c r="I89" s="8">
        <f>IF(H89&lt;=0.000001,0,H89*$B$2/12)</f>
        <v/>
      </c>
      <c r="J89" s="8">
        <f>IF(H89&lt;=0.000001,0,MIN($H$3,H89+I89))</f>
        <v/>
      </c>
      <c r="K89" s="8">
        <f>ROUND(K88-M88+L88,8)</f>
        <v/>
      </c>
      <c r="L89" s="8">
        <f>IF(K89&lt;=0.000001,0,K89*$B$2/12)</f>
        <v/>
      </c>
      <c r="M89" s="8">
        <f>IF(K89&lt;=0.000001,0,MIN($K$3,K89+L89))</f>
        <v/>
      </c>
    </row>
    <row r="90">
      <c r="A90" s="4" t="n">
        <v>82</v>
      </c>
      <c r="B90" s="8">
        <f>ROUND(B89-D89+C89,8)</f>
        <v/>
      </c>
      <c r="C90" s="8">
        <f>IF(B90&lt;=0.000001,0,B90*$B$2/12)</f>
        <v/>
      </c>
      <c r="D90" s="8">
        <f>IF(B90&lt;=0.000001,0,MIN($B$3,B90+C90))</f>
        <v/>
      </c>
      <c r="E90" s="8">
        <f>ROUND(E89-G89+F89,8)</f>
        <v/>
      </c>
      <c r="F90" s="8">
        <f>IF(E90&lt;=0.000001,0,E90*$B$2/12)</f>
        <v/>
      </c>
      <c r="G90" s="8">
        <f>IF(E90&lt;=0.000001,0,MIN($E$3,E90+F90))</f>
        <v/>
      </c>
      <c r="H90" s="8">
        <f>ROUND(H89-J89+I89,8)</f>
        <v/>
      </c>
      <c r="I90" s="8">
        <f>IF(H90&lt;=0.000001,0,H90*$B$2/12)</f>
        <v/>
      </c>
      <c r="J90" s="8">
        <f>IF(H90&lt;=0.000001,0,MIN($H$3,H90+I90))</f>
        <v/>
      </c>
      <c r="K90" s="8">
        <f>ROUND(K89-M89+L89,8)</f>
        <v/>
      </c>
      <c r="L90" s="8">
        <f>IF(K90&lt;=0.000001,0,K90*$B$2/12)</f>
        <v/>
      </c>
      <c r="M90" s="8">
        <f>IF(K90&lt;=0.000001,0,MIN($K$3,K90+L90))</f>
        <v/>
      </c>
    </row>
    <row r="91">
      <c r="A91" s="4" t="n">
        <v>83</v>
      </c>
      <c r="B91" s="8">
        <f>ROUND(B90-D90+C90,8)</f>
        <v/>
      </c>
      <c r="C91" s="8">
        <f>IF(B91&lt;=0.000001,0,B91*$B$2/12)</f>
        <v/>
      </c>
      <c r="D91" s="8">
        <f>IF(B91&lt;=0.000001,0,MIN($B$3,B91+C91))</f>
        <v/>
      </c>
      <c r="E91" s="8">
        <f>ROUND(E90-G90+F90,8)</f>
        <v/>
      </c>
      <c r="F91" s="8">
        <f>IF(E91&lt;=0.000001,0,E91*$B$2/12)</f>
        <v/>
      </c>
      <c r="G91" s="8">
        <f>IF(E91&lt;=0.000001,0,MIN($E$3,E91+F91))</f>
        <v/>
      </c>
      <c r="H91" s="8">
        <f>ROUND(H90-J90+I90,8)</f>
        <v/>
      </c>
      <c r="I91" s="8">
        <f>IF(H91&lt;=0.000001,0,H91*$B$2/12)</f>
        <v/>
      </c>
      <c r="J91" s="8">
        <f>IF(H91&lt;=0.000001,0,MIN($H$3,H91+I91))</f>
        <v/>
      </c>
      <c r="K91" s="8">
        <f>ROUND(K90-M90+L90,8)</f>
        <v/>
      </c>
      <c r="L91" s="8">
        <f>IF(K91&lt;=0.000001,0,K91*$B$2/12)</f>
        <v/>
      </c>
      <c r="M91" s="8">
        <f>IF(K91&lt;=0.000001,0,MIN($K$3,K91+L91))</f>
        <v/>
      </c>
    </row>
    <row r="92">
      <c r="A92" s="4" t="n">
        <v>84</v>
      </c>
      <c r="B92" s="8">
        <f>ROUND(B91-D91+C91,8)</f>
        <v/>
      </c>
      <c r="C92" s="8">
        <f>IF(B92&lt;=0.000001,0,B92*$B$2/12)</f>
        <v/>
      </c>
      <c r="D92" s="8">
        <f>IF(B92&lt;=0.000001,0,MIN($B$3,B92+C92))</f>
        <v/>
      </c>
      <c r="E92" s="8">
        <f>ROUND(E91-G91+F91,8)</f>
        <v/>
      </c>
      <c r="F92" s="8">
        <f>IF(E92&lt;=0.000001,0,E92*$B$2/12)</f>
        <v/>
      </c>
      <c r="G92" s="8">
        <f>IF(E92&lt;=0.000001,0,MIN($E$3,E92+F92))</f>
        <v/>
      </c>
      <c r="H92" s="8">
        <f>ROUND(H91-J91+I91,8)</f>
        <v/>
      </c>
      <c r="I92" s="8">
        <f>IF(H92&lt;=0.000001,0,H92*$B$2/12)</f>
        <v/>
      </c>
      <c r="J92" s="8">
        <f>IF(H92&lt;=0.000001,0,MIN($H$3,H92+I92))</f>
        <v/>
      </c>
      <c r="K92" s="8">
        <f>ROUND(K91-M91+L91,8)</f>
        <v/>
      </c>
      <c r="L92" s="8">
        <f>IF(K92&lt;=0.000001,0,K92*$B$2/12)</f>
        <v/>
      </c>
      <c r="M92" s="8">
        <f>IF(K92&lt;=0.000001,0,MIN($K$3,K92+L92))</f>
        <v/>
      </c>
    </row>
    <row r="93">
      <c r="A93" s="4" t="n">
        <v>85</v>
      </c>
      <c r="B93" s="8">
        <f>ROUND(B92-D92+C92,8)</f>
        <v/>
      </c>
      <c r="C93" s="8">
        <f>IF(B93&lt;=0.000001,0,B93*$B$2/12)</f>
        <v/>
      </c>
      <c r="D93" s="8">
        <f>IF(B93&lt;=0.000001,0,MIN($B$3,B93+C93))</f>
        <v/>
      </c>
      <c r="E93" s="8">
        <f>ROUND(E92-G92+F92,8)</f>
        <v/>
      </c>
      <c r="F93" s="8">
        <f>IF(E93&lt;=0.000001,0,E93*$B$2/12)</f>
        <v/>
      </c>
      <c r="G93" s="8">
        <f>IF(E93&lt;=0.000001,0,MIN($E$3,E93+F93))</f>
        <v/>
      </c>
      <c r="H93" s="8">
        <f>ROUND(H92-J92+I92,8)</f>
        <v/>
      </c>
      <c r="I93" s="8">
        <f>IF(H93&lt;=0.000001,0,H93*$B$2/12)</f>
        <v/>
      </c>
      <c r="J93" s="8">
        <f>IF(H93&lt;=0.000001,0,MIN($H$3,H93+I93))</f>
        <v/>
      </c>
      <c r="K93" s="8">
        <f>ROUND(K92-M92+L92,8)</f>
        <v/>
      </c>
      <c r="L93" s="8">
        <f>IF(K93&lt;=0.000001,0,K93*$B$2/12)</f>
        <v/>
      </c>
      <c r="M93" s="8">
        <f>IF(K93&lt;=0.000001,0,MIN($K$3,K93+L93))</f>
        <v/>
      </c>
    </row>
    <row r="94">
      <c r="A94" s="4" t="n">
        <v>86</v>
      </c>
      <c r="B94" s="8">
        <f>ROUND(B93-D93+C93,8)</f>
        <v/>
      </c>
      <c r="C94" s="8">
        <f>IF(B94&lt;=0.000001,0,B94*$B$2/12)</f>
        <v/>
      </c>
      <c r="D94" s="8">
        <f>IF(B94&lt;=0.000001,0,MIN($B$3,B94+C94))</f>
        <v/>
      </c>
      <c r="E94" s="8">
        <f>ROUND(E93-G93+F93,8)</f>
        <v/>
      </c>
      <c r="F94" s="8">
        <f>IF(E94&lt;=0.000001,0,E94*$B$2/12)</f>
        <v/>
      </c>
      <c r="G94" s="8">
        <f>IF(E94&lt;=0.000001,0,MIN($E$3,E94+F94))</f>
        <v/>
      </c>
      <c r="H94" s="8">
        <f>ROUND(H93-J93+I93,8)</f>
        <v/>
      </c>
      <c r="I94" s="8">
        <f>IF(H94&lt;=0.000001,0,H94*$B$2/12)</f>
        <v/>
      </c>
      <c r="J94" s="8">
        <f>IF(H94&lt;=0.000001,0,MIN($H$3,H94+I94))</f>
        <v/>
      </c>
      <c r="K94" s="8">
        <f>ROUND(K93-M93+L93,8)</f>
        <v/>
      </c>
      <c r="L94" s="8">
        <f>IF(K94&lt;=0.000001,0,K94*$B$2/12)</f>
        <v/>
      </c>
      <c r="M94" s="8">
        <f>IF(K94&lt;=0.000001,0,MIN($K$3,K94+L94))</f>
        <v/>
      </c>
    </row>
    <row r="95">
      <c r="A95" s="4" t="n">
        <v>87</v>
      </c>
      <c r="B95" s="8">
        <f>ROUND(B94-D94+C94,8)</f>
        <v/>
      </c>
      <c r="C95" s="8">
        <f>IF(B95&lt;=0.000001,0,B95*$B$2/12)</f>
        <v/>
      </c>
      <c r="D95" s="8">
        <f>IF(B95&lt;=0.000001,0,MIN($B$3,B95+C95))</f>
        <v/>
      </c>
      <c r="E95" s="8">
        <f>ROUND(E94-G94+F94,8)</f>
        <v/>
      </c>
      <c r="F95" s="8">
        <f>IF(E95&lt;=0.000001,0,E95*$B$2/12)</f>
        <v/>
      </c>
      <c r="G95" s="8">
        <f>IF(E95&lt;=0.000001,0,MIN($E$3,E95+F95))</f>
        <v/>
      </c>
      <c r="H95" s="8">
        <f>ROUND(H94-J94+I94,8)</f>
        <v/>
      </c>
      <c r="I95" s="8">
        <f>IF(H95&lt;=0.000001,0,H95*$B$2/12)</f>
        <v/>
      </c>
      <c r="J95" s="8">
        <f>IF(H95&lt;=0.000001,0,MIN($H$3,H95+I95))</f>
        <v/>
      </c>
      <c r="K95" s="8">
        <f>ROUND(K94-M94+L94,8)</f>
        <v/>
      </c>
      <c r="L95" s="8">
        <f>IF(K95&lt;=0.000001,0,K95*$B$2/12)</f>
        <v/>
      </c>
      <c r="M95" s="8">
        <f>IF(K95&lt;=0.000001,0,MIN($K$3,K95+L95))</f>
        <v/>
      </c>
    </row>
    <row r="96">
      <c r="A96" s="4" t="n">
        <v>88</v>
      </c>
      <c r="B96" s="8">
        <f>ROUND(B95-D95+C95,8)</f>
        <v/>
      </c>
      <c r="C96" s="8">
        <f>IF(B96&lt;=0.000001,0,B96*$B$2/12)</f>
        <v/>
      </c>
      <c r="D96" s="8">
        <f>IF(B96&lt;=0.000001,0,MIN($B$3,B96+C96))</f>
        <v/>
      </c>
      <c r="E96" s="8">
        <f>ROUND(E95-G95+F95,8)</f>
        <v/>
      </c>
      <c r="F96" s="8">
        <f>IF(E96&lt;=0.000001,0,E96*$B$2/12)</f>
        <v/>
      </c>
      <c r="G96" s="8">
        <f>IF(E96&lt;=0.000001,0,MIN($E$3,E96+F96))</f>
        <v/>
      </c>
      <c r="H96" s="8">
        <f>ROUND(H95-J95+I95,8)</f>
        <v/>
      </c>
      <c r="I96" s="8">
        <f>IF(H96&lt;=0.000001,0,H96*$B$2/12)</f>
        <v/>
      </c>
      <c r="J96" s="8">
        <f>IF(H96&lt;=0.000001,0,MIN($H$3,H96+I96))</f>
        <v/>
      </c>
      <c r="K96" s="8">
        <f>ROUND(K95-M95+L95,8)</f>
        <v/>
      </c>
      <c r="L96" s="8">
        <f>IF(K96&lt;=0.000001,0,K96*$B$2/12)</f>
        <v/>
      </c>
      <c r="M96" s="8">
        <f>IF(K96&lt;=0.000001,0,MIN($K$3,K96+L96))</f>
        <v/>
      </c>
    </row>
    <row r="97">
      <c r="A97" s="4" t="n">
        <v>89</v>
      </c>
      <c r="B97" s="8">
        <f>ROUND(B96-D96+C96,8)</f>
        <v/>
      </c>
      <c r="C97" s="8">
        <f>IF(B97&lt;=0.000001,0,B97*$B$2/12)</f>
        <v/>
      </c>
      <c r="D97" s="8">
        <f>IF(B97&lt;=0.000001,0,MIN($B$3,B97+C97))</f>
        <v/>
      </c>
      <c r="E97" s="8">
        <f>ROUND(E96-G96+F96,8)</f>
        <v/>
      </c>
      <c r="F97" s="8">
        <f>IF(E97&lt;=0.000001,0,E97*$B$2/12)</f>
        <v/>
      </c>
      <c r="G97" s="8">
        <f>IF(E97&lt;=0.000001,0,MIN($E$3,E97+F97))</f>
        <v/>
      </c>
      <c r="H97" s="8">
        <f>ROUND(H96-J96+I96,8)</f>
        <v/>
      </c>
      <c r="I97" s="8">
        <f>IF(H97&lt;=0.000001,0,H97*$B$2/12)</f>
        <v/>
      </c>
      <c r="J97" s="8">
        <f>IF(H97&lt;=0.000001,0,MIN($H$3,H97+I97))</f>
        <v/>
      </c>
      <c r="K97" s="8">
        <f>ROUND(K96-M96+L96,8)</f>
        <v/>
      </c>
      <c r="L97" s="8">
        <f>IF(K97&lt;=0.000001,0,K97*$B$2/12)</f>
        <v/>
      </c>
      <c r="M97" s="8">
        <f>IF(K97&lt;=0.000001,0,MIN($K$3,K97+L97))</f>
        <v/>
      </c>
    </row>
    <row r="98">
      <c r="A98" s="4" t="n">
        <v>90</v>
      </c>
      <c r="B98" s="8">
        <f>ROUND(B97-D97+C97,8)</f>
        <v/>
      </c>
      <c r="C98" s="8">
        <f>IF(B98&lt;=0.000001,0,B98*$B$2/12)</f>
        <v/>
      </c>
      <c r="D98" s="8">
        <f>IF(B98&lt;=0.000001,0,MIN($B$3,B98+C98))</f>
        <v/>
      </c>
      <c r="E98" s="8">
        <f>ROUND(E97-G97+F97,8)</f>
        <v/>
      </c>
      <c r="F98" s="8">
        <f>IF(E98&lt;=0.000001,0,E98*$B$2/12)</f>
        <v/>
      </c>
      <c r="G98" s="8">
        <f>IF(E98&lt;=0.000001,0,MIN($E$3,E98+F98))</f>
        <v/>
      </c>
      <c r="H98" s="8">
        <f>ROUND(H97-J97+I97,8)</f>
        <v/>
      </c>
      <c r="I98" s="8">
        <f>IF(H98&lt;=0.000001,0,H98*$B$2/12)</f>
        <v/>
      </c>
      <c r="J98" s="8">
        <f>IF(H98&lt;=0.000001,0,MIN($H$3,H98+I98))</f>
        <v/>
      </c>
      <c r="K98" s="8">
        <f>ROUND(K97-M97+L97,8)</f>
        <v/>
      </c>
      <c r="L98" s="8">
        <f>IF(K98&lt;=0.000001,0,K98*$B$2/12)</f>
        <v/>
      </c>
      <c r="M98" s="8">
        <f>IF(K98&lt;=0.000001,0,MIN($K$3,K98+L98))</f>
        <v/>
      </c>
    </row>
    <row r="99">
      <c r="A99" s="4" t="n">
        <v>91</v>
      </c>
      <c r="B99" s="8">
        <f>ROUND(B98-D98+C98,8)</f>
        <v/>
      </c>
      <c r="C99" s="8">
        <f>IF(B99&lt;=0.000001,0,B99*$B$2/12)</f>
        <v/>
      </c>
      <c r="D99" s="8">
        <f>IF(B99&lt;=0.000001,0,MIN($B$3,B99+C99))</f>
        <v/>
      </c>
      <c r="E99" s="8">
        <f>ROUND(E98-G98+F98,8)</f>
        <v/>
      </c>
      <c r="F99" s="8">
        <f>IF(E99&lt;=0.000001,0,E99*$B$2/12)</f>
        <v/>
      </c>
      <c r="G99" s="8">
        <f>IF(E99&lt;=0.000001,0,MIN($E$3,E99+F99))</f>
        <v/>
      </c>
      <c r="H99" s="8">
        <f>ROUND(H98-J98+I98,8)</f>
        <v/>
      </c>
      <c r="I99" s="8">
        <f>IF(H99&lt;=0.000001,0,H99*$B$2/12)</f>
        <v/>
      </c>
      <c r="J99" s="8">
        <f>IF(H99&lt;=0.000001,0,MIN($H$3,H99+I99))</f>
        <v/>
      </c>
      <c r="K99" s="8">
        <f>ROUND(K98-M98+L98,8)</f>
        <v/>
      </c>
      <c r="L99" s="8">
        <f>IF(K99&lt;=0.000001,0,K99*$B$2/12)</f>
        <v/>
      </c>
      <c r="M99" s="8">
        <f>IF(K99&lt;=0.000001,0,MIN($K$3,K99+L99))</f>
        <v/>
      </c>
    </row>
    <row r="100">
      <c r="A100" s="4" t="n">
        <v>92</v>
      </c>
      <c r="B100" s="8">
        <f>ROUND(B99-D99+C99,8)</f>
        <v/>
      </c>
      <c r="C100" s="8">
        <f>IF(B100&lt;=0.000001,0,B100*$B$2/12)</f>
        <v/>
      </c>
      <c r="D100" s="8">
        <f>IF(B100&lt;=0.000001,0,MIN($B$3,B100+C100))</f>
        <v/>
      </c>
      <c r="E100" s="8">
        <f>ROUND(E99-G99+F99,8)</f>
        <v/>
      </c>
      <c r="F100" s="8">
        <f>IF(E100&lt;=0.000001,0,E100*$B$2/12)</f>
        <v/>
      </c>
      <c r="G100" s="8">
        <f>IF(E100&lt;=0.000001,0,MIN($E$3,E100+F100))</f>
        <v/>
      </c>
      <c r="H100" s="8">
        <f>ROUND(H99-J99+I99,8)</f>
        <v/>
      </c>
      <c r="I100" s="8">
        <f>IF(H100&lt;=0.000001,0,H100*$B$2/12)</f>
        <v/>
      </c>
      <c r="J100" s="8">
        <f>IF(H100&lt;=0.000001,0,MIN($H$3,H100+I100))</f>
        <v/>
      </c>
      <c r="K100" s="8">
        <f>ROUND(K99-M99+L99,8)</f>
        <v/>
      </c>
      <c r="L100" s="8">
        <f>IF(K100&lt;=0.000001,0,K100*$B$2/12)</f>
        <v/>
      </c>
      <c r="M100" s="8">
        <f>IF(K100&lt;=0.000001,0,MIN($K$3,K100+L100))</f>
        <v/>
      </c>
    </row>
    <row r="101">
      <c r="A101" s="4" t="n">
        <v>93</v>
      </c>
      <c r="B101" s="8">
        <f>ROUND(B100-D100+C100,8)</f>
        <v/>
      </c>
      <c r="C101" s="8">
        <f>IF(B101&lt;=0.000001,0,B101*$B$2/12)</f>
        <v/>
      </c>
      <c r="D101" s="8">
        <f>IF(B101&lt;=0.000001,0,MIN($B$3,B101+C101))</f>
        <v/>
      </c>
      <c r="E101" s="8">
        <f>ROUND(E100-G100+F100,8)</f>
        <v/>
      </c>
      <c r="F101" s="8">
        <f>IF(E101&lt;=0.000001,0,E101*$B$2/12)</f>
        <v/>
      </c>
      <c r="G101" s="8">
        <f>IF(E101&lt;=0.000001,0,MIN($E$3,E101+F101))</f>
        <v/>
      </c>
      <c r="H101" s="8">
        <f>ROUND(H100-J100+I100,8)</f>
        <v/>
      </c>
      <c r="I101" s="8">
        <f>IF(H101&lt;=0.000001,0,H101*$B$2/12)</f>
        <v/>
      </c>
      <c r="J101" s="8">
        <f>IF(H101&lt;=0.000001,0,MIN($H$3,H101+I101))</f>
        <v/>
      </c>
      <c r="K101" s="8">
        <f>ROUND(K100-M100+L100,8)</f>
        <v/>
      </c>
      <c r="L101" s="8">
        <f>IF(K101&lt;=0.000001,0,K101*$B$2/12)</f>
        <v/>
      </c>
      <c r="M101" s="8">
        <f>IF(K101&lt;=0.000001,0,MIN($K$3,K101+L101))</f>
        <v/>
      </c>
    </row>
    <row r="102">
      <c r="A102" s="4" t="n">
        <v>94</v>
      </c>
      <c r="B102" s="8">
        <f>ROUND(B101-D101+C101,8)</f>
        <v/>
      </c>
      <c r="C102" s="8">
        <f>IF(B102&lt;=0.000001,0,B102*$B$2/12)</f>
        <v/>
      </c>
      <c r="D102" s="8">
        <f>IF(B102&lt;=0.000001,0,MIN($B$3,B102+C102))</f>
        <v/>
      </c>
      <c r="E102" s="8">
        <f>ROUND(E101-G101+F101,8)</f>
        <v/>
      </c>
      <c r="F102" s="8">
        <f>IF(E102&lt;=0.000001,0,E102*$B$2/12)</f>
        <v/>
      </c>
      <c r="G102" s="8">
        <f>IF(E102&lt;=0.000001,0,MIN($E$3,E102+F102))</f>
        <v/>
      </c>
      <c r="H102" s="8">
        <f>ROUND(H101-J101+I101,8)</f>
        <v/>
      </c>
      <c r="I102" s="8">
        <f>IF(H102&lt;=0.000001,0,H102*$B$2/12)</f>
        <v/>
      </c>
      <c r="J102" s="8">
        <f>IF(H102&lt;=0.000001,0,MIN($H$3,H102+I102))</f>
        <v/>
      </c>
      <c r="K102" s="8">
        <f>ROUND(K101-M101+L101,8)</f>
        <v/>
      </c>
      <c r="L102" s="8">
        <f>IF(K102&lt;=0.000001,0,K102*$B$2/12)</f>
        <v/>
      </c>
      <c r="M102" s="8">
        <f>IF(K102&lt;=0.000001,0,MIN($K$3,K102+L102))</f>
        <v/>
      </c>
    </row>
    <row r="103">
      <c r="A103" s="4" t="n">
        <v>95</v>
      </c>
      <c r="B103" s="8">
        <f>ROUND(B102-D102+C102,8)</f>
        <v/>
      </c>
      <c r="C103" s="8">
        <f>IF(B103&lt;=0.000001,0,B103*$B$2/12)</f>
        <v/>
      </c>
      <c r="D103" s="8">
        <f>IF(B103&lt;=0.000001,0,MIN($B$3,B103+C103))</f>
        <v/>
      </c>
      <c r="E103" s="8">
        <f>ROUND(E102-G102+F102,8)</f>
        <v/>
      </c>
      <c r="F103" s="8">
        <f>IF(E103&lt;=0.000001,0,E103*$B$2/12)</f>
        <v/>
      </c>
      <c r="G103" s="8">
        <f>IF(E103&lt;=0.000001,0,MIN($E$3,E103+F103))</f>
        <v/>
      </c>
      <c r="H103" s="8">
        <f>ROUND(H102-J102+I102,8)</f>
        <v/>
      </c>
      <c r="I103" s="8">
        <f>IF(H103&lt;=0.000001,0,H103*$B$2/12)</f>
        <v/>
      </c>
      <c r="J103" s="8">
        <f>IF(H103&lt;=0.000001,0,MIN($H$3,H103+I103))</f>
        <v/>
      </c>
      <c r="K103" s="8">
        <f>ROUND(K102-M102+L102,8)</f>
        <v/>
      </c>
      <c r="L103" s="8">
        <f>IF(K103&lt;=0.000001,0,K103*$B$2/12)</f>
        <v/>
      </c>
      <c r="M103" s="8">
        <f>IF(K103&lt;=0.000001,0,MIN($K$3,K103+L103))</f>
        <v/>
      </c>
    </row>
    <row r="104">
      <c r="A104" s="4" t="n">
        <v>96</v>
      </c>
      <c r="B104" s="8">
        <f>ROUND(B103-D103+C103,8)</f>
        <v/>
      </c>
      <c r="C104" s="8">
        <f>IF(B104&lt;=0.000001,0,B104*$B$2/12)</f>
        <v/>
      </c>
      <c r="D104" s="8">
        <f>IF(B104&lt;=0.000001,0,MIN($B$3,B104+C104))</f>
        <v/>
      </c>
      <c r="E104" s="8">
        <f>ROUND(E103-G103+F103,8)</f>
        <v/>
      </c>
      <c r="F104" s="8">
        <f>IF(E104&lt;=0.000001,0,E104*$B$2/12)</f>
        <v/>
      </c>
      <c r="G104" s="8">
        <f>IF(E104&lt;=0.000001,0,MIN($E$3,E104+F104))</f>
        <v/>
      </c>
      <c r="H104" s="8">
        <f>ROUND(H103-J103+I103,8)</f>
        <v/>
      </c>
      <c r="I104" s="8">
        <f>IF(H104&lt;=0.000001,0,H104*$B$2/12)</f>
        <v/>
      </c>
      <c r="J104" s="8">
        <f>IF(H104&lt;=0.000001,0,MIN($H$3,H104+I104))</f>
        <v/>
      </c>
      <c r="K104" s="8">
        <f>ROUND(K103-M103+L103,8)</f>
        <v/>
      </c>
      <c r="L104" s="8">
        <f>IF(K104&lt;=0.000001,0,K104*$B$2/12)</f>
        <v/>
      </c>
      <c r="M104" s="8">
        <f>IF(K104&lt;=0.000001,0,MIN($K$3,K104+L104))</f>
        <v/>
      </c>
    </row>
    <row r="105">
      <c r="A105" s="4" t="n">
        <v>97</v>
      </c>
      <c r="B105" s="8">
        <f>ROUND(B104-D104+C104,8)</f>
        <v/>
      </c>
      <c r="C105" s="8">
        <f>IF(B105&lt;=0.000001,0,B105*$B$2/12)</f>
        <v/>
      </c>
      <c r="D105" s="8">
        <f>IF(B105&lt;=0.000001,0,MIN($B$3,B105+C105))</f>
        <v/>
      </c>
      <c r="E105" s="8">
        <f>ROUND(E104-G104+F104,8)</f>
        <v/>
      </c>
      <c r="F105" s="8">
        <f>IF(E105&lt;=0.000001,0,E105*$B$2/12)</f>
        <v/>
      </c>
      <c r="G105" s="8">
        <f>IF(E105&lt;=0.000001,0,MIN($E$3,E105+F105))</f>
        <v/>
      </c>
      <c r="H105" s="8">
        <f>ROUND(H104-J104+I104,8)</f>
        <v/>
      </c>
      <c r="I105" s="8">
        <f>IF(H105&lt;=0.000001,0,H105*$B$2/12)</f>
        <v/>
      </c>
      <c r="J105" s="8">
        <f>IF(H105&lt;=0.000001,0,MIN($H$3,H105+I105))</f>
        <v/>
      </c>
      <c r="K105" s="8">
        <f>ROUND(K104-M104+L104,8)</f>
        <v/>
      </c>
      <c r="L105" s="8">
        <f>IF(K105&lt;=0.000001,0,K105*$B$2/12)</f>
        <v/>
      </c>
      <c r="M105" s="8">
        <f>IF(K105&lt;=0.000001,0,MIN($K$3,K105+L105))</f>
        <v/>
      </c>
    </row>
    <row r="106">
      <c r="A106" s="4" t="n">
        <v>98</v>
      </c>
      <c r="B106" s="8">
        <f>ROUND(B105-D105+C105,8)</f>
        <v/>
      </c>
      <c r="C106" s="8">
        <f>IF(B106&lt;=0.000001,0,B106*$B$2/12)</f>
        <v/>
      </c>
      <c r="D106" s="8">
        <f>IF(B106&lt;=0.000001,0,MIN($B$3,B106+C106))</f>
        <v/>
      </c>
      <c r="E106" s="8">
        <f>ROUND(E105-G105+F105,8)</f>
        <v/>
      </c>
      <c r="F106" s="8">
        <f>IF(E106&lt;=0.000001,0,E106*$B$2/12)</f>
        <v/>
      </c>
      <c r="G106" s="8">
        <f>IF(E106&lt;=0.000001,0,MIN($E$3,E106+F106))</f>
        <v/>
      </c>
      <c r="H106" s="8">
        <f>ROUND(H105-J105+I105,8)</f>
        <v/>
      </c>
      <c r="I106" s="8">
        <f>IF(H106&lt;=0.000001,0,H106*$B$2/12)</f>
        <v/>
      </c>
      <c r="J106" s="8">
        <f>IF(H106&lt;=0.000001,0,MIN($H$3,H106+I106))</f>
        <v/>
      </c>
      <c r="K106" s="8">
        <f>ROUND(K105-M105+L105,8)</f>
        <v/>
      </c>
      <c r="L106" s="8">
        <f>IF(K106&lt;=0.000001,0,K106*$B$2/12)</f>
        <v/>
      </c>
      <c r="M106" s="8">
        <f>IF(K106&lt;=0.000001,0,MIN($K$3,K106+L106))</f>
        <v/>
      </c>
    </row>
    <row r="107">
      <c r="A107" s="4" t="n">
        <v>99</v>
      </c>
      <c r="B107" s="8">
        <f>ROUND(B106-D106+C106,8)</f>
        <v/>
      </c>
      <c r="C107" s="8">
        <f>IF(B107&lt;=0.000001,0,B107*$B$2/12)</f>
        <v/>
      </c>
      <c r="D107" s="8">
        <f>IF(B107&lt;=0.000001,0,MIN($B$3,B107+C107))</f>
        <v/>
      </c>
      <c r="E107" s="8">
        <f>ROUND(E106-G106+F106,8)</f>
        <v/>
      </c>
      <c r="F107" s="8">
        <f>IF(E107&lt;=0.000001,0,E107*$B$2/12)</f>
        <v/>
      </c>
      <c r="G107" s="8">
        <f>IF(E107&lt;=0.000001,0,MIN($E$3,E107+F107))</f>
        <v/>
      </c>
      <c r="H107" s="8">
        <f>ROUND(H106-J106+I106,8)</f>
        <v/>
      </c>
      <c r="I107" s="8">
        <f>IF(H107&lt;=0.000001,0,H107*$B$2/12)</f>
        <v/>
      </c>
      <c r="J107" s="8">
        <f>IF(H107&lt;=0.000001,0,MIN($H$3,H107+I107))</f>
        <v/>
      </c>
      <c r="K107" s="8">
        <f>ROUND(K106-M106+L106,8)</f>
        <v/>
      </c>
      <c r="L107" s="8">
        <f>IF(K107&lt;=0.000001,0,K107*$B$2/12)</f>
        <v/>
      </c>
      <c r="M107" s="8">
        <f>IF(K107&lt;=0.000001,0,MIN($K$3,K107+L107))</f>
        <v/>
      </c>
    </row>
    <row r="108">
      <c r="A108" s="4" t="n">
        <v>100</v>
      </c>
      <c r="B108" s="8">
        <f>ROUND(B107-D107+C107,8)</f>
        <v/>
      </c>
      <c r="C108" s="8">
        <f>IF(B108&lt;=0.000001,0,B108*$B$2/12)</f>
        <v/>
      </c>
      <c r="D108" s="8">
        <f>IF(B108&lt;=0.000001,0,MIN($B$3,B108+C108))</f>
        <v/>
      </c>
      <c r="E108" s="8">
        <f>ROUND(E107-G107+F107,8)</f>
        <v/>
      </c>
      <c r="F108" s="8">
        <f>IF(E108&lt;=0.000001,0,E108*$B$2/12)</f>
        <v/>
      </c>
      <c r="G108" s="8">
        <f>IF(E108&lt;=0.000001,0,MIN($E$3,E108+F108))</f>
        <v/>
      </c>
      <c r="H108" s="8">
        <f>ROUND(H107-J107+I107,8)</f>
        <v/>
      </c>
      <c r="I108" s="8">
        <f>IF(H108&lt;=0.000001,0,H108*$B$2/12)</f>
        <v/>
      </c>
      <c r="J108" s="8">
        <f>IF(H108&lt;=0.000001,0,MIN($H$3,H108+I108))</f>
        <v/>
      </c>
      <c r="K108" s="8">
        <f>ROUND(K107-M107+L107,8)</f>
        <v/>
      </c>
      <c r="L108" s="8">
        <f>IF(K108&lt;=0.000001,0,K108*$B$2/12)</f>
        <v/>
      </c>
      <c r="M108" s="8">
        <f>IF(K108&lt;=0.000001,0,MIN($K$3,K108+L108))</f>
        <v/>
      </c>
    </row>
    <row r="109">
      <c r="A109" s="4" t="n">
        <v>101</v>
      </c>
      <c r="B109" s="8">
        <f>ROUND(B108-D108+C108,8)</f>
        <v/>
      </c>
      <c r="C109" s="8">
        <f>IF(B109&lt;=0.000001,0,B109*$B$2/12)</f>
        <v/>
      </c>
      <c r="D109" s="8">
        <f>IF(B109&lt;=0.000001,0,MIN($B$3,B109+C109))</f>
        <v/>
      </c>
      <c r="E109" s="8">
        <f>ROUND(E108-G108+F108,8)</f>
        <v/>
      </c>
      <c r="F109" s="8">
        <f>IF(E109&lt;=0.000001,0,E109*$B$2/12)</f>
        <v/>
      </c>
      <c r="G109" s="8">
        <f>IF(E109&lt;=0.000001,0,MIN($E$3,E109+F109))</f>
        <v/>
      </c>
      <c r="H109" s="8">
        <f>ROUND(H108-J108+I108,8)</f>
        <v/>
      </c>
      <c r="I109" s="8">
        <f>IF(H109&lt;=0.000001,0,H109*$B$2/12)</f>
        <v/>
      </c>
      <c r="J109" s="8">
        <f>IF(H109&lt;=0.000001,0,MIN($H$3,H109+I109))</f>
        <v/>
      </c>
      <c r="K109" s="8">
        <f>ROUND(K108-M108+L108,8)</f>
        <v/>
      </c>
      <c r="L109" s="8">
        <f>IF(K109&lt;=0.000001,0,K109*$B$2/12)</f>
        <v/>
      </c>
      <c r="M109" s="8">
        <f>IF(K109&lt;=0.000001,0,MIN($K$3,K109+L109))</f>
        <v/>
      </c>
    </row>
    <row r="110">
      <c r="A110" s="4" t="n">
        <v>102</v>
      </c>
      <c r="B110" s="8">
        <f>ROUND(B109-D109+C109,8)</f>
        <v/>
      </c>
      <c r="C110" s="8">
        <f>IF(B110&lt;=0.000001,0,B110*$B$2/12)</f>
        <v/>
      </c>
      <c r="D110" s="8">
        <f>IF(B110&lt;=0.000001,0,MIN($B$3,B110+C110))</f>
        <v/>
      </c>
      <c r="E110" s="8">
        <f>ROUND(E109-G109+F109,8)</f>
        <v/>
      </c>
      <c r="F110" s="8">
        <f>IF(E110&lt;=0.000001,0,E110*$B$2/12)</f>
        <v/>
      </c>
      <c r="G110" s="8">
        <f>IF(E110&lt;=0.000001,0,MIN($E$3,E110+F110))</f>
        <v/>
      </c>
      <c r="H110" s="8">
        <f>ROUND(H109-J109+I109,8)</f>
        <v/>
      </c>
      <c r="I110" s="8">
        <f>IF(H110&lt;=0.000001,0,H110*$B$2/12)</f>
        <v/>
      </c>
      <c r="J110" s="8">
        <f>IF(H110&lt;=0.000001,0,MIN($H$3,H110+I110))</f>
        <v/>
      </c>
      <c r="K110" s="8">
        <f>ROUND(K109-M109+L109,8)</f>
        <v/>
      </c>
      <c r="L110" s="8">
        <f>IF(K110&lt;=0.000001,0,K110*$B$2/12)</f>
        <v/>
      </c>
      <c r="M110" s="8">
        <f>IF(K110&lt;=0.000001,0,MIN($K$3,K110+L110))</f>
        <v/>
      </c>
    </row>
    <row r="111">
      <c r="A111" s="4" t="n">
        <v>103</v>
      </c>
      <c r="B111" s="8">
        <f>ROUND(B110-D110+C110,8)</f>
        <v/>
      </c>
      <c r="C111" s="8">
        <f>IF(B111&lt;=0.000001,0,B111*$B$2/12)</f>
        <v/>
      </c>
      <c r="D111" s="8">
        <f>IF(B111&lt;=0.000001,0,MIN($B$3,B111+C111))</f>
        <v/>
      </c>
      <c r="E111" s="8">
        <f>ROUND(E110-G110+F110,8)</f>
        <v/>
      </c>
      <c r="F111" s="8">
        <f>IF(E111&lt;=0.000001,0,E111*$B$2/12)</f>
        <v/>
      </c>
      <c r="G111" s="8">
        <f>IF(E111&lt;=0.000001,0,MIN($E$3,E111+F111))</f>
        <v/>
      </c>
      <c r="H111" s="8">
        <f>ROUND(H110-J110+I110,8)</f>
        <v/>
      </c>
      <c r="I111" s="8">
        <f>IF(H111&lt;=0.000001,0,H111*$B$2/12)</f>
        <v/>
      </c>
      <c r="J111" s="8">
        <f>IF(H111&lt;=0.000001,0,MIN($H$3,H111+I111))</f>
        <v/>
      </c>
      <c r="K111" s="8">
        <f>ROUND(K110-M110+L110,8)</f>
        <v/>
      </c>
      <c r="L111" s="8">
        <f>IF(K111&lt;=0.000001,0,K111*$B$2/12)</f>
        <v/>
      </c>
      <c r="M111" s="8">
        <f>IF(K111&lt;=0.000001,0,MIN($K$3,K111+L111))</f>
        <v/>
      </c>
    </row>
    <row r="112">
      <c r="A112" s="4" t="n">
        <v>104</v>
      </c>
      <c r="B112" s="8">
        <f>ROUND(B111-D111+C111,8)</f>
        <v/>
      </c>
      <c r="C112" s="8">
        <f>IF(B112&lt;=0.000001,0,B112*$B$2/12)</f>
        <v/>
      </c>
      <c r="D112" s="8">
        <f>IF(B112&lt;=0.000001,0,MIN($B$3,B112+C112))</f>
        <v/>
      </c>
      <c r="E112" s="8">
        <f>ROUND(E111-G111+F111,8)</f>
        <v/>
      </c>
      <c r="F112" s="8">
        <f>IF(E112&lt;=0.000001,0,E112*$B$2/12)</f>
        <v/>
      </c>
      <c r="G112" s="8">
        <f>IF(E112&lt;=0.000001,0,MIN($E$3,E112+F112))</f>
        <v/>
      </c>
      <c r="H112" s="8">
        <f>ROUND(H111-J111+I111,8)</f>
        <v/>
      </c>
      <c r="I112" s="8">
        <f>IF(H112&lt;=0.000001,0,H112*$B$2/12)</f>
        <v/>
      </c>
      <c r="J112" s="8">
        <f>IF(H112&lt;=0.000001,0,MIN($H$3,H112+I112))</f>
        <v/>
      </c>
      <c r="K112" s="8">
        <f>ROUND(K111-M111+L111,8)</f>
        <v/>
      </c>
      <c r="L112" s="8">
        <f>IF(K112&lt;=0.000001,0,K112*$B$2/12)</f>
        <v/>
      </c>
      <c r="M112" s="8">
        <f>IF(K112&lt;=0.000001,0,MIN($K$3,K112+L112))</f>
        <v/>
      </c>
    </row>
    <row r="113">
      <c r="A113" s="4" t="n">
        <v>105</v>
      </c>
      <c r="B113" s="8">
        <f>ROUND(B112-D112+C112,8)</f>
        <v/>
      </c>
      <c r="C113" s="8">
        <f>IF(B113&lt;=0.000001,0,B113*$B$2/12)</f>
        <v/>
      </c>
      <c r="D113" s="8">
        <f>IF(B113&lt;=0.000001,0,MIN($B$3,B113+C113))</f>
        <v/>
      </c>
      <c r="E113" s="8">
        <f>ROUND(E112-G112+F112,8)</f>
        <v/>
      </c>
      <c r="F113" s="8">
        <f>IF(E113&lt;=0.000001,0,E113*$B$2/12)</f>
        <v/>
      </c>
      <c r="G113" s="8">
        <f>IF(E113&lt;=0.000001,0,MIN($E$3,E113+F113))</f>
        <v/>
      </c>
      <c r="H113" s="8">
        <f>ROUND(H112-J112+I112,8)</f>
        <v/>
      </c>
      <c r="I113" s="8">
        <f>IF(H113&lt;=0.000001,0,H113*$B$2/12)</f>
        <v/>
      </c>
      <c r="J113" s="8">
        <f>IF(H113&lt;=0.000001,0,MIN($H$3,H113+I113))</f>
        <v/>
      </c>
      <c r="K113" s="8">
        <f>ROUND(K112-M112+L112,8)</f>
        <v/>
      </c>
      <c r="L113" s="8">
        <f>IF(K113&lt;=0.000001,0,K113*$B$2/12)</f>
        <v/>
      </c>
      <c r="M113" s="8">
        <f>IF(K113&lt;=0.000001,0,MIN($K$3,K113+L113))</f>
        <v/>
      </c>
    </row>
    <row r="114">
      <c r="A114" s="4" t="n">
        <v>106</v>
      </c>
      <c r="B114" s="8">
        <f>ROUND(B113-D113+C113,8)</f>
        <v/>
      </c>
      <c r="C114" s="8">
        <f>IF(B114&lt;=0.000001,0,B114*$B$2/12)</f>
        <v/>
      </c>
      <c r="D114" s="8">
        <f>IF(B114&lt;=0.000001,0,MIN($B$3,B114+C114))</f>
        <v/>
      </c>
      <c r="E114" s="8">
        <f>ROUND(E113-G113+F113,8)</f>
        <v/>
      </c>
      <c r="F114" s="8">
        <f>IF(E114&lt;=0.000001,0,E114*$B$2/12)</f>
        <v/>
      </c>
      <c r="G114" s="8">
        <f>IF(E114&lt;=0.000001,0,MIN($E$3,E114+F114))</f>
        <v/>
      </c>
      <c r="H114" s="8">
        <f>ROUND(H113-J113+I113,8)</f>
        <v/>
      </c>
      <c r="I114" s="8">
        <f>IF(H114&lt;=0.000001,0,H114*$B$2/12)</f>
        <v/>
      </c>
      <c r="J114" s="8">
        <f>IF(H114&lt;=0.000001,0,MIN($H$3,H114+I114))</f>
        <v/>
      </c>
      <c r="K114" s="8">
        <f>ROUND(K113-M113+L113,8)</f>
        <v/>
      </c>
      <c r="L114" s="8">
        <f>IF(K114&lt;=0.000001,0,K114*$B$2/12)</f>
        <v/>
      </c>
      <c r="M114" s="8">
        <f>IF(K114&lt;=0.000001,0,MIN($K$3,K114+L114))</f>
        <v/>
      </c>
    </row>
    <row r="115">
      <c r="A115" s="4" t="n">
        <v>107</v>
      </c>
      <c r="B115" s="8">
        <f>ROUND(B114-D114+C114,8)</f>
        <v/>
      </c>
      <c r="C115" s="8">
        <f>IF(B115&lt;=0.000001,0,B115*$B$2/12)</f>
        <v/>
      </c>
      <c r="D115" s="8">
        <f>IF(B115&lt;=0.000001,0,MIN($B$3,B115+C115))</f>
        <v/>
      </c>
      <c r="E115" s="8">
        <f>ROUND(E114-G114+F114,8)</f>
        <v/>
      </c>
      <c r="F115" s="8">
        <f>IF(E115&lt;=0.000001,0,E115*$B$2/12)</f>
        <v/>
      </c>
      <c r="G115" s="8">
        <f>IF(E115&lt;=0.000001,0,MIN($E$3,E115+F115))</f>
        <v/>
      </c>
      <c r="H115" s="8">
        <f>ROUND(H114-J114+I114,8)</f>
        <v/>
      </c>
      <c r="I115" s="8">
        <f>IF(H115&lt;=0.000001,0,H115*$B$2/12)</f>
        <v/>
      </c>
      <c r="J115" s="8">
        <f>IF(H115&lt;=0.000001,0,MIN($H$3,H115+I115))</f>
        <v/>
      </c>
      <c r="K115" s="8">
        <f>ROUND(K114-M114+L114,8)</f>
        <v/>
      </c>
      <c r="L115" s="8">
        <f>IF(K115&lt;=0.000001,0,K115*$B$2/12)</f>
        <v/>
      </c>
      <c r="M115" s="8">
        <f>IF(K115&lt;=0.000001,0,MIN($K$3,K115+L115))</f>
        <v/>
      </c>
    </row>
    <row r="116">
      <c r="A116" s="4" t="n">
        <v>108</v>
      </c>
      <c r="B116" s="8">
        <f>ROUND(B115-D115+C115,8)</f>
        <v/>
      </c>
      <c r="C116" s="8">
        <f>IF(B116&lt;=0.000001,0,B116*$B$2/12)</f>
        <v/>
      </c>
      <c r="D116" s="8">
        <f>IF(B116&lt;=0.000001,0,MIN($B$3,B116+C116))</f>
        <v/>
      </c>
      <c r="E116" s="8">
        <f>ROUND(E115-G115+F115,8)</f>
        <v/>
      </c>
      <c r="F116" s="8">
        <f>IF(E116&lt;=0.000001,0,E116*$B$2/12)</f>
        <v/>
      </c>
      <c r="G116" s="8">
        <f>IF(E116&lt;=0.000001,0,MIN($E$3,E116+F116))</f>
        <v/>
      </c>
      <c r="H116" s="8">
        <f>ROUND(H115-J115+I115,8)</f>
        <v/>
      </c>
      <c r="I116" s="8">
        <f>IF(H116&lt;=0.000001,0,H116*$B$2/12)</f>
        <v/>
      </c>
      <c r="J116" s="8">
        <f>IF(H116&lt;=0.000001,0,MIN($H$3,H116+I116))</f>
        <v/>
      </c>
      <c r="K116" s="8">
        <f>ROUND(K115-M115+L115,8)</f>
        <v/>
      </c>
      <c r="L116" s="8">
        <f>IF(K116&lt;=0.000001,0,K116*$B$2/12)</f>
        <v/>
      </c>
      <c r="M116" s="8">
        <f>IF(K116&lt;=0.000001,0,MIN($K$3,K116+L116))</f>
        <v/>
      </c>
    </row>
    <row r="117">
      <c r="A117" s="4" t="n">
        <v>109</v>
      </c>
      <c r="B117" s="8">
        <f>ROUND(B116-D116+C116,8)</f>
        <v/>
      </c>
      <c r="C117" s="8">
        <f>IF(B117&lt;=0.000001,0,B117*$B$2/12)</f>
        <v/>
      </c>
      <c r="D117" s="8">
        <f>IF(B117&lt;=0.000001,0,MIN($B$3,B117+C117))</f>
        <v/>
      </c>
      <c r="E117" s="8">
        <f>ROUND(E116-G116+F116,8)</f>
        <v/>
      </c>
      <c r="F117" s="8">
        <f>IF(E117&lt;=0.000001,0,E117*$B$2/12)</f>
        <v/>
      </c>
      <c r="G117" s="8">
        <f>IF(E117&lt;=0.000001,0,MIN($E$3,E117+F117))</f>
        <v/>
      </c>
      <c r="H117" s="8">
        <f>ROUND(H116-J116+I116,8)</f>
        <v/>
      </c>
      <c r="I117" s="8">
        <f>IF(H117&lt;=0.000001,0,H117*$B$2/12)</f>
        <v/>
      </c>
      <c r="J117" s="8">
        <f>IF(H117&lt;=0.000001,0,MIN($H$3,H117+I117))</f>
        <v/>
      </c>
      <c r="K117" s="8">
        <f>ROUND(K116-M116+L116,8)</f>
        <v/>
      </c>
      <c r="L117" s="8">
        <f>IF(K117&lt;=0.000001,0,K117*$B$2/12)</f>
        <v/>
      </c>
      <c r="M117" s="8">
        <f>IF(K117&lt;=0.000001,0,MIN($K$3,K117+L117))</f>
        <v/>
      </c>
    </row>
    <row r="118">
      <c r="A118" s="4" t="n">
        <v>110</v>
      </c>
      <c r="B118" s="8">
        <f>ROUND(B117-D117+C117,8)</f>
        <v/>
      </c>
      <c r="C118" s="8">
        <f>IF(B118&lt;=0.000001,0,B118*$B$2/12)</f>
        <v/>
      </c>
      <c r="D118" s="8">
        <f>IF(B118&lt;=0.000001,0,MIN($B$3,B118+C118))</f>
        <v/>
      </c>
      <c r="E118" s="8">
        <f>ROUND(E117-G117+F117,8)</f>
        <v/>
      </c>
      <c r="F118" s="8">
        <f>IF(E118&lt;=0.000001,0,E118*$B$2/12)</f>
        <v/>
      </c>
      <c r="G118" s="8">
        <f>IF(E118&lt;=0.000001,0,MIN($E$3,E118+F118))</f>
        <v/>
      </c>
      <c r="H118" s="8">
        <f>ROUND(H117-J117+I117,8)</f>
        <v/>
      </c>
      <c r="I118" s="8">
        <f>IF(H118&lt;=0.000001,0,H118*$B$2/12)</f>
        <v/>
      </c>
      <c r="J118" s="8">
        <f>IF(H118&lt;=0.000001,0,MIN($H$3,H118+I118))</f>
        <v/>
      </c>
      <c r="K118" s="8">
        <f>ROUND(K117-M117+L117,8)</f>
        <v/>
      </c>
      <c r="L118" s="8">
        <f>IF(K118&lt;=0.000001,0,K118*$B$2/12)</f>
        <v/>
      </c>
      <c r="M118" s="8">
        <f>IF(K118&lt;=0.000001,0,MIN($K$3,K118+L118))</f>
        <v/>
      </c>
    </row>
    <row r="119">
      <c r="A119" s="4" t="n">
        <v>111</v>
      </c>
      <c r="B119" s="8">
        <f>ROUND(B118-D118+C118,8)</f>
        <v/>
      </c>
      <c r="C119" s="8">
        <f>IF(B119&lt;=0.000001,0,B119*$B$2/12)</f>
        <v/>
      </c>
      <c r="D119" s="8">
        <f>IF(B119&lt;=0.000001,0,MIN($B$3,B119+C119))</f>
        <v/>
      </c>
      <c r="E119" s="8">
        <f>ROUND(E118-G118+F118,8)</f>
        <v/>
      </c>
      <c r="F119" s="8">
        <f>IF(E119&lt;=0.000001,0,E119*$B$2/12)</f>
        <v/>
      </c>
      <c r="G119" s="8">
        <f>IF(E119&lt;=0.000001,0,MIN($E$3,E119+F119))</f>
        <v/>
      </c>
      <c r="H119" s="8">
        <f>ROUND(H118-J118+I118,8)</f>
        <v/>
      </c>
      <c r="I119" s="8">
        <f>IF(H119&lt;=0.000001,0,H119*$B$2/12)</f>
        <v/>
      </c>
      <c r="J119" s="8">
        <f>IF(H119&lt;=0.000001,0,MIN($H$3,H119+I119))</f>
        <v/>
      </c>
      <c r="K119" s="8">
        <f>ROUND(K118-M118+L118,8)</f>
        <v/>
      </c>
      <c r="L119" s="8">
        <f>IF(K119&lt;=0.000001,0,K119*$B$2/12)</f>
        <v/>
      </c>
      <c r="M119" s="8">
        <f>IF(K119&lt;=0.000001,0,MIN($K$3,K119+L119))</f>
        <v/>
      </c>
    </row>
    <row r="120">
      <c r="A120" s="4" t="n">
        <v>112</v>
      </c>
      <c r="B120" s="8">
        <f>ROUND(B119-D119+C119,8)</f>
        <v/>
      </c>
      <c r="C120" s="8">
        <f>IF(B120&lt;=0.000001,0,B120*$B$2/12)</f>
        <v/>
      </c>
      <c r="D120" s="8">
        <f>IF(B120&lt;=0.000001,0,MIN($B$3,B120+C120))</f>
        <v/>
      </c>
      <c r="E120" s="8">
        <f>ROUND(E119-G119+F119,8)</f>
        <v/>
      </c>
      <c r="F120" s="8">
        <f>IF(E120&lt;=0.000001,0,E120*$B$2/12)</f>
        <v/>
      </c>
      <c r="G120" s="8">
        <f>IF(E120&lt;=0.000001,0,MIN($E$3,E120+F120))</f>
        <v/>
      </c>
      <c r="H120" s="8">
        <f>ROUND(H119-J119+I119,8)</f>
        <v/>
      </c>
      <c r="I120" s="8">
        <f>IF(H120&lt;=0.000001,0,H120*$B$2/12)</f>
        <v/>
      </c>
      <c r="J120" s="8">
        <f>IF(H120&lt;=0.000001,0,MIN($H$3,H120+I120))</f>
        <v/>
      </c>
      <c r="K120" s="8">
        <f>ROUND(K119-M119+L119,8)</f>
        <v/>
      </c>
      <c r="L120" s="8">
        <f>IF(K120&lt;=0.000001,0,K120*$B$2/12)</f>
        <v/>
      </c>
      <c r="M120" s="8">
        <f>IF(K120&lt;=0.000001,0,MIN($K$3,K120+L120))</f>
        <v/>
      </c>
    </row>
    <row r="121">
      <c r="A121" s="4" t="n">
        <v>113</v>
      </c>
      <c r="B121" s="8">
        <f>ROUND(B120-D120+C120,8)</f>
        <v/>
      </c>
      <c r="C121" s="8">
        <f>IF(B121&lt;=0.000001,0,B121*$B$2/12)</f>
        <v/>
      </c>
      <c r="D121" s="8">
        <f>IF(B121&lt;=0.000001,0,MIN($B$3,B121+C121))</f>
        <v/>
      </c>
      <c r="E121" s="8">
        <f>ROUND(E120-G120+F120,8)</f>
        <v/>
      </c>
      <c r="F121" s="8">
        <f>IF(E121&lt;=0.000001,0,E121*$B$2/12)</f>
        <v/>
      </c>
      <c r="G121" s="8">
        <f>IF(E121&lt;=0.000001,0,MIN($E$3,E121+F121))</f>
        <v/>
      </c>
      <c r="H121" s="8">
        <f>ROUND(H120-J120+I120,8)</f>
        <v/>
      </c>
      <c r="I121" s="8">
        <f>IF(H121&lt;=0.000001,0,H121*$B$2/12)</f>
        <v/>
      </c>
      <c r="J121" s="8">
        <f>IF(H121&lt;=0.000001,0,MIN($H$3,H121+I121))</f>
        <v/>
      </c>
      <c r="K121" s="8">
        <f>ROUND(K120-M120+L120,8)</f>
        <v/>
      </c>
      <c r="L121" s="8">
        <f>IF(K121&lt;=0.000001,0,K121*$B$2/12)</f>
        <v/>
      </c>
      <c r="M121" s="8">
        <f>IF(K121&lt;=0.000001,0,MIN($K$3,K121+L121))</f>
        <v/>
      </c>
    </row>
    <row r="122">
      <c r="A122" s="4" t="n">
        <v>114</v>
      </c>
      <c r="B122" s="8">
        <f>ROUND(B121-D121+C121,8)</f>
        <v/>
      </c>
      <c r="C122" s="8">
        <f>IF(B122&lt;=0.000001,0,B122*$B$2/12)</f>
        <v/>
      </c>
      <c r="D122" s="8">
        <f>IF(B122&lt;=0.000001,0,MIN($B$3,B122+C122))</f>
        <v/>
      </c>
      <c r="E122" s="8">
        <f>ROUND(E121-G121+F121,8)</f>
        <v/>
      </c>
      <c r="F122" s="8">
        <f>IF(E122&lt;=0.000001,0,E122*$B$2/12)</f>
        <v/>
      </c>
      <c r="G122" s="8">
        <f>IF(E122&lt;=0.000001,0,MIN($E$3,E122+F122))</f>
        <v/>
      </c>
      <c r="H122" s="8">
        <f>ROUND(H121-J121+I121,8)</f>
        <v/>
      </c>
      <c r="I122" s="8">
        <f>IF(H122&lt;=0.000001,0,H122*$B$2/12)</f>
        <v/>
      </c>
      <c r="J122" s="8">
        <f>IF(H122&lt;=0.000001,0,MIN($H$3,H122+I122))</f>
        <v/>
      </c>
      <c r="K122" s="8">
        <f>ROUND(K121-M121+L121,8)</f>
        <v/>
      </c>
      <c r="L122" s="8">
        <f>IF(K122&lt;=0.000001,0,K122*$B$2/12)</f>
        <v/>
      </c>
      <c r="M122" s="8">
        <f>IF(K122&lt;=0.000001,0,MIN($K$3,K122+L122))</f>
        <v/>
      </c>
    </row>
    <row r="123">
      <c r="A123" s="4" t="n">
        <v>115</v>
      </c>
      <c r="B123" s="8">
        <f>ROUND(B122-D122+C122,8)</f>
        <v/>
      </c>
      <c r="C123" s="8">
        <f>IF(B123&lt;=0.000001,0,B123*$B$2/12)</f>
        <v/>
      </c>
      <c r="D123" s="8">
        <f>IF(B123&lt;=0.000001,0,MIN($B$3,B123+C123))</f>
        <v/>
      </c>
      <c r="E123" s="8">
        <f>ROUND(E122-G122+F122,8)</f>
        <v/>
      </c>
      <c r="F123" s="8">
        <f>IF(E123&lt;=0.000001,0,E123*$B$2/12)</f>
        <v/>
      </c>
      <c r="G123" s="8">
        <f>IF(E123&lt;=0.000001,0,MIN($E$3,E123+F123))</f>
        <v/>
      </c>
      <c r="H123" s="8">
        <f>ROUND(H122-J122+I122,8)</f>
        <v/>
      </c>
      <c r="I123" s="8">
        <f>IF(H123&lt;=0.000001,0,H123*$B$2/12)</f>
        <v/>
      </c>
      <c r="J123" s="8">
        <f>IF(H123&lt;=0.000001,0,MIN($H$3,H123+I123))</f>
        <v/>
      </c>
      <c r="K123" s="8">
        <f>ROUND(K122-M122+L122,8)</f>
        <v/>
      </c>
      <c r="L123" s="8">
        <f>IF(K123&lt;=0.000001,0,K123*$B$2/12)</f>
        <v/>
      </c>
      <c r="M123" s="8">
        <f>IF(K123&lt;=0.000001,0,MIN($K$3,K123+L123))</f>
        <v/>
      </c>
    </row>
    <row r="124">
      <c r="A124" s="4" t="n">
        <v>116</v>
      </c>
      <c r="B124" s="8">
        <f>ROUND(B123-D123+C123,8)</f>
        <v/>
      </c>
      <c r="C124" s="8">
        <f>IF(B124&lt;=0.000001,0,B124*$B$2/12)</f>
        <v/>
      </c>
      <c r="D124" s="8">
        <f>IF(B124&lt;=0.000001,0,MIN($B$3,B124+C124))</f>
        <v/>
      </c>
      <c r="E124" s="8">
        <f>ROUND(E123-G123+F123,8)</f>
        <v/>
      </c>
      <c r="F124" s="8">
        <f>IF(E124&lt;=0.000001,0,E124*$B$2/12)</f>
        <v/>
      </c>
      <c r="G124" s="8">
        <f>IF(E124&lt;=0.000001,0,MIN($E$3,E124+F124))</f>
        <v/>
      </c>
      <c r="H124" s="8">
        <f>ROUND(H123-J123+I123,8)</f>
        <v/>
      </c>
      <c r="I124" s="8">
        <f>IF(H124&lt;=0.000001,0,H124*$B$2/12)</f>
        <v/>
      </c>
      <c r="J124" s="8">
        <f>IF(H124&lt;=0.000001,0,MIN($H$3,H124+I124))</f>
        <v/>
      </c>
      <c r="K124" s="8">
        <f>ROUND(K123-M123+L123,8)</f>
        <v/>
      </c>
      <c r="L124" s="8">
        <f>IF(K124&lt;=0.000001,0,K124*$B$2/12)</f>
        <v/>
      </c>
      <c r="M124" s="8">
        <f>IF(K124&lt;=0.000001,0,MIN($K$3,K124+L124))</f>
        <v/>
      </c>
    </row>
    <row r="125">
      <c r="A125" s="4" t="n">
        <v>117</v>
      </c>
      <c r="B125" s="8">
        <f>ROUND(B124-D124+C124,8)</f>
        <v/>
      </c>
      <c r="C125" s="8">
        <f>IF(B125&lt;=0.000001,0,B125*$B$2/12)</f>
        <v/>
      </c>
      <c r="D125" s="8">
        <f>IF(B125&lt;=0.000001,0,MIN($B$3,B125+C125))</f>
        <v/>
      </c>
      <c r="E125" s="8">
        <f>ROUND(E124-G124+F124,8)</f>
        <v/>
      </c>
      <c r="F125" s="8">
        <f>IF(E125&lt;=0.000001,0,E125*$B$2/12)</f>
        <v/>
      </c>
      <c r="G125" s="8">
        <f>IF(E125&lt;=0.000001,0,MIN($E$3,E125+F125))</f>
        <v/>
      </c>
      <c r="H125" s="8">
        <f>ROUND(H124-J124+I124,8)</f>
        <v/>
      </c>
      <c r="I125" s="8">
        <f>IF(H125&lt;=0.000001,0,H125*$B$2/12)</f>
        <v/>
      </c>
      <c r="J125" s="8">
        <f>IF(H125&lt;=0.000001,0,MIN($H$3,H125+I125))</f>
        <v/>
      </c>
      <c r="K125" s="8">
        <f>ROUND(K124-M124+L124,8)</f>
        <v/>
      </c>
      <c r="L125" s="8">
        <f>IF(K125&lt;=0.000001,0,K125*$B$2/12)</f>
        <v/>
      </c>
      <c r="M125" s="8">
        <f>IF(K125&lt;=0.000001,0,MIN($K$3,K125+L125))</f>
        <v/>
      </c>
    </row>
    <row r="126">
      <c r="A126" s="4" t="n">
        <v>118</v>
      </c>
      <c r="B126" s="8">
        <f>ROUND(B125-D125+C125,8)</f>
        <v/>
      </c>
      <c r="C126" s="8">
        <f>IF(B126&lt;=0.000001,0,B126*$B$2/12)</f>
        <v/>
      </c>
      <c r="D126" s="8">
        <f>IF(B126&lt;=0.000001,0,MIN($B$3,B126+C126))</f>
        <v/>
      </c>
      <c r="E126" s="8">
        <f>ROUND(E125-G125+F125,8)</f>
        <v/>
      </c>
      <c r="F126" s="8">
        <f>IF(E126&lt;=0.000001,0,E126*$B$2/12)</f>
        <v/>
      </c>
      <c r="G126" s="8">
        <f>IF(E126&lt;=0.000001,0,MIN($E$3,E126+F126))</f>
        <v/>
      </c>
      <c r="H126" s="8">
        <f>ROUND(H125-J125+I125,8)</f>
        <v/>
      </c>
      <c r="I126" s="8">
        <f>IF(H126&lt;=0.000001,0,H126*$B$2/12)</f>
        <v/>
      </c>
      <c r="J126" s="8">
        <f>IF(H126&lt;=0.000001,0,MIN($H$3,H126+I126))</f>
        <v/>
      </c>
      <c r="K126" s="8">
        <f>ROUND(K125-M125+L125,8)</f>
        <v/>
      </c>
      <c r="L126" s="8">
        <f>IF(K126&lt;=0.000001,0,K126*$B$2/12)</f>
        <v/>
      </c>
      <c r="M126" s="8">
        <f>IF(K126&lt;=0.000001,0,MIN($K$3,K126+L126))</f>
        <v/>
      </c>
    </row>
    <row r="127">
      <c r="A127" s="4" t="n">
        <v>119</v>
      </c>
      <c r="B127" s="8">
        <f>ROUND(B126-D126+C126,8)</f>
        <v/>
      </c>
      <c r="C127" s="8">
        <f>IF(B127&lt;=0.000001,0,B127*$B$2/12)</f>
        <v/>
      </c>
      <c r="D127" s="8">
        <f>IF(B127&lt;=0.000001,0,MIN($B$3,B127+C127))</f>
        <v/>
      </c>
      <c r="E127" s="8">
        <f>ROUND(E126-G126+F126,8)</f>
        <v/>
      </c>
      <c r="F127" s="8">
        <f>IF(E127&lt;=0.000001,0,E127*$B$2/12)</f>
        <v/>
      </c>
      <c r="G127" s="8">
        <f>IF(E127&lt;=0.000001,0,MIN($E$3,E127+F127))</f>
        <v/>
      </c>
      <c r="H127" s="8">
        <f>ROUND(H126-J126+I126,8)</f>
        <v/>
      </c>
      <c r="I127" s="8">
        <f>IF(H127&lt;=0.000001,0,H127*$B$2/12)</f>
        <v/>
      </c>
      <c r="J127" s="8">
        <f>IF(H127&lt;=0.000001,0,MIN($H$3,H127+I127))</f>
        <v/>
      </c>
      <c r="K127" s="8">
        <f>ROUND(K126-M126+L126,8)</f>
        <v/>
      </c>
      <c r="L127" s="8">
        <f>IF(K127&lt;=0.000001,0,K127*$B$2/12)</f>
        <v/>
      </c>
      <c r="M127" s="8">
        <f>IF(K127&lt;=0.000001,0,MIN($K$3,K127+L127))</f>
        <v/>
      </c>
    </row>
    <row r="128">
      <c r="A128" s="4" t="n">
        <v>120</v>
      </c>
      <c r="B128" s="8">
        <f>ROUND(B127-D127+C127,8)</f>
        <v/>
      </c>
      <c r="C128" s="8">
        <f>IF(B128&lt;=0.000001,0,B128*$B$2/12)</f>
        <v/>
      </c>
      <c r="D128" s="8">
        <f>IF(B128&lt;=0.000001,0,MIN($B$3,B128+C128))</f>
        <v/>
      </c>
      <c r="E128" s="8">
        <f>ROUND(E127-G127+F127,8)</f>
        <v/>
      </c>
      <c r="F128" s="8">
        <f>IF(E128&lt;=0.000001,0,E128*$B$2/12)</f>
        <v/>
      </c>
      <c r="G128" s="8">
        <f>IF(E128&lt;=0.000001,0,MIN($E$3,E128+F128))</f>
        <v/>
      </c>
      <c r="H128" s="8">
        <f>ROUND(H127-J127+I127,8)</f>
        <v/>
      </c>
      <c r="I128" s="8">
        <f>IF(H128&lt;=0.000001,0,H128*$B$2/12)</f>
        <v/>
      </c>
      <c r="J128" s="8">
        <f>IF(H128&lt;=0.000001,0,MIN($H$3,H128+I128))</f>
        <v/>
      </c>
      <c r="K128" s="8">
        <f>ROUND(K127-M127+L127,8)</f>
        <v/>
      </c>
      <c r="L128" s="8">
        <f>IF(K128&lt;=0.000001,0,K128*$B$2/12)</f>
        <v/>
      </c>
      <c r="M128" s="8">
        <f>IF(K128&lt;=0.000001,0,MIN($K$3,K128+L128))</f>
        <v/>
      </c>
    </row>
    <row r="129">
      <c r="A129" s="4" t="n">
        <v>121</v>
      </c>
      <c r="B129" s="8">
        <f>ROUND(B128-D128+C128,8)</f>
        <v/>
      </c>
      <c r="C129" s="8">
        <f>IF(B129&lt;=0.000001,0,B129*$B$2/12)</f>
        <v/>
      </c>
      <c r="D129" s="8">
        <f>IF(B129&lt;=0.000001,0,MIN($B$3,B129+C129))</f>
        <v/>
      </c>
      <c r="E129" s="8">
        <f>ROUND(E128-G128+F128,8)</f>
        <v/>
      </c>
      <c r="F129" s="8">
        <f>IF(E129&lt;=0.000001,0,E129*$B$2/12)</f>
        <v/>
      </c>
      <c r="G129" s="8">
        <f>IF(E129&lt;=0.000001,0,MIN($E$3,E129+F129))</f>
        <v/>
      </c>
      <c r="H129" s="8">
        <f>ROUND(H128-J128+I128,8)</f>
        <v/>
      </c>
      <c r="I129" s="8">
        <f>IF(H129&lt;=0.000001,0,H129*$B$2/12)</f>
        <v/>
      </c>
      <c r="J129" s="8">
        <f>IF(H129&lt;=0.000001,0,MIN($H$3,H129+I129))</f>
        <v/>
      </c>
      <c r="K129" s="8">
        <f>ROUND(K128-M128+L128,8)</f>
        <v/>
      </c>
      <c r="L129" s="8">
        <f>IF(K129&lt;=0.000001,0,K129*$B$2/12)</f>
        <v/>
      </c>
      <c r="M129" s="8">
        <f>IF(K129&lt;=0.000001,0,MIN($K$3,K129+L129))</f>
        <v/>
      </c>
    </row>
    <row r="130">
      <c r="A130" s="4" t="n">
        <v>122</v>
      </c>
      <c r="B130" s="8">
        <f>ROUND(B129-D129+C129,8)</f>
        <v/>
      </c>
      <c r="C130" s="8">
        <f>IF(B130&lt;=0.000001,0,B130*$B$2/12)</f>
        <v/>
      </c>
      <c r="D130" s="8">
        <f>IF(B130&lt;=0.000001,0,MIN($B$3,B130+C130))</f>
        <v/>
      </c>
      <c r="E130" s="8">
        <f>ROUND(E129-G129+F129,8)</f>
        <v/>
      </c>
      <c r="F130" s="8">
        <f>IF(E130&lt;=0.000001,0,E130*$B$2/12)</f>
        <v/>
      </c>
      <c r="G130" s="8">
        <f>IF(E130&lt;=0.000001,0,MIN($E$3,E130+F130))</f>
        <v/>
      </c>
      <c r="H130" s="8">
        <f>ROUND(H129-J129+I129,8)</f>
        <v/>
      </c>
      <c r="I130" s="8">
        <f>IF(H130&lt;=0.000001,0,H130*$B$2/12)</f>
        <v/>
      </c>
      <c r="J130" s="8">
        <f>IF(H130&lt;=0.000001,0,MIN($H$3,H130+I130))</f>
        <v/>
      </c>
      <c r="K130" s="8">
        <f>ROUND(K129-M129+L129,8)</f>
        <v/>
      </c>
      <c r="L130" s="8">
        <f>IF(K130&lt;=0.000001,0,K130*$B$2/12)</f>
        <v/>
      </c>
      <c r="M130" s="8">
        <f>IF(K130&lt;=0.000001,0,MIN($K$3,K130+L130))</f>
        <v/>
      </c>
    </row>
    <row r="131">
      <c r="A131" s="4" t="n">
        <v>123</v>
      </c>
      <c r="B131" s="8">
        <f>ROUND(B130-D130+C130,8)</f>
        <v/>
      </c>
      <c r="C131" s="8">
        <f>IF(B131&lt;=0.000001,0,B131*$B$2/12)</f>
        <v/>
      </c>
      <c r="D131" s="8">
        <f>IF(B131&lt;=0.000001,0,MIN($B$3,B131+C131))</f>
        <v/>
      </c>
      <c r="E131" s="8">
        <f>ROUND(E130-G130+F130,8)</f>
        <v/>
      </c>
      <c r="F131" s="8">
        <f>IF(E131&lt;=0.000001,0,E131*$B$2/12)</f>
        <v/>
      </c>
      <c r="G131" s="8">
        <f>IF(E131&lt;=0.000001,0,MIN($E$3,E131+F131))</f>
        <v/>
      </c>
      <c r="H131" s="8">
        <f>ROUND(H130-J130+I130,8)</f>
        <v/>
      </c>
      <c r="I131" s="8">
        <f>IF(H131&lt;=0.000001,0,H131*$B$2/12)</f>
        <v/>
      </c>
      <c r="J131" s="8">
        <f>IF(H131&lt;=0.000001,0,MIN($H$3,H131+I131))</f>
        <v/>
      </c>
      <c r="K131" s="8">
        <f>ROUND(K130-M130+L130,8)</f>
        <v/>
      </c>
      <c r="L131" s="8">
        <f>IF(K131&lt;=0.000001,0,K131*$B$2/12)</f>
        <v/>
      </c>
      <c r="M131" s="8">
        <f>IF(K131&lt;=0.000001,0,MIN($K$3,K131+L131))</f>
        <v/>
      </c>
    </row>
    <row r="132">
      <c r="A132" s="4" t="n">
        <v>124</v>
      </c>
      <c r="B132" s="8">
        <f>ROUND(B131-D131+C131,8)</f>
        <v/>
      </c>
      <c r="C132" s="8">
        <f>IF(B132&lt;=0.000001,0,B132*$B$2/12)</f>
        <v/>
      </c>
      <c r="D132" s="8">
        <f>IF(B132&lt;=0.000001,0,MIN($B$3,B132+C132))</f>
        <v/>
      </c>
      <c r="E132" s="8">
        <f>ROUND(E131-G131+F131,8)</f>
        <v/>
      </c>
      <c r="F132" s="8">
        <f>IF(E132&lt;=0.000001,0,E132*$B$2/12)</f>
        <v/>
      </c>
      <c r="G132" s="8">
        <f>IF(E132&lt;=0.000001,0,MIN($E$3,E132+F132))</f>
        <v/>
      </c>
      <c r="H132" s="8">
        <f>ROUND(H131-J131+I131,8)</f>
        <v/>
      </c>
      <c r="I132" s="8">
        <f>IF(H132&lt;=0.000001,0,H132*$B$2/12)</f>
        <v/>
      </c>
      <c r="J132" s="8">
        <f>IF(H132&lt;=0.000001,0,MIN($H$3,H132+I132))</f>
        <v/>
      </c>
      <c r="K132" s="8">
        <f>ROUND(K131-M131+L131,8)</f>
        <v/>
      </c>
      <c r="L132" s="8">
        <f>IF(K132&lt;=0.000001,0,K132*$B$2/12)</f>
        <v/>
      </c>
      <c r="M132" s="8">
        <f>IF(K132&lt;=0.000001,0,MIN($K$3,K132+L132))</f>
        <v/>
      </c>
    </row>
    <row r="133">
      <c r="A133" s="4" t="n">
        <v>125</v>
      </c>
      <c r="B133" s="8">
        <f>ROUND(B132-D132+C132,8)</f>
        <v/>
      </c>
      <c r="C133" s="8">
        <f>IF(B133&lt;=0.000001,0,B133*$B$2/12)</f>
        <v/>
      </c>
      <c r="D133" s="8">
        <f>IF(B133&lt;=0.000001,0,MIN($B$3,B133+C133))</f>
        <v/>
      </c>
      <c r="E133" s="8">
        <f>ROUND(E132-G132+F132,8)</f>
        <v/>
      </c>
      <c r="F133" s="8">
        <f>IF(E133&lt;=0.000001,0,E133*$B$2/12)</f>
        <v/>
      </c>
      <c r="G133" s="8">
        <f>IF(E133&lt;=0.000001,0,MIN($E$3,E133+F133))</f>
        <v/>
      </c>
      <c r="H133" s="8">
        <f>ROUND(H132-J132+I132,8)</f>
        <v/>
      </c>
      <c r="I133" s="8">
        <f>IF(H133&lt;=0.000001,0,H133*$B$2/12)</f>
        <v/>
      </c>
      <c r="J133" s="8">
        <f>IF(H133&lt;=0.000001,0,MIN($H$3,H133+I133))</f>
        <v/>
      </c>
      <c r="K133" s="8">
        <f>ROUND(K132-M132+L132,8)</f>
        <v/>
      </c>
      <c r="L133" s="8">
        <f>IF(K133&lt;=0.000001,0,K133*$B$2/12)</f>
        <v/>
      </c>
      <c r="M133" s="8">
        <f>IF(K133&lt;=0.000001,0,MIN($K$3,K133+L133))</f>
        <v/>
      </c>
    </row>
    <row r="134">
      <c r="A134" s="4" t="n">
        <v>126</v>
      </c>
      <c r="B134" s="8">
        <f>ROUND(B133-D133+C133,8)</f>
        <v/>
      </c>
      <c r="C134" s="8">
        <f>IF(B134&lt;=0.000001,0,B134*$B$2/12)</f>
        <v/>
      </c>
      <c r="D134" s="8">
        <f>IF(B134&lt;=0.000001,0,MIN($B$3,B134+C134))</f>
        <v/>
      </c>
      <c r="E134" s="8">
        <f>ROUND(E133-G133+F133,8)</f>
        <v/>
      </c>
      <c r="F134" s="8">
        <f>IF(E134&lt;=0.000001,0,E134*$B$2/12)</f>
        <v/>
      </c>
      <c r="G134" s="8">
        <f>IF(E134&lt;=0.000001,0,MIN($E$3,E134+F134))</f>
        <v/>
      </c>
      <c r="H134" s="8">
        <f>ROUND(H133-J133+I133,8)</f>
        <v/>
      </c>
      <c r="I134" s="8">
        <f>IF(H134&lt;=0.000001,0,H134*$B$2/12)</f>
        <v/>
      </c>
      <c r="J134" s="8">
        <f>IF(H134&lt;=0.000001,0,MIN($H$3,H134+I134))</f>
        <v/>
      </c>
      <c r="K134" s="8">
        <f>ROUND(K133-M133+L133,8)</f>
        <v/>
      </c>
      <c r="L134" s="8">
        <f>IF(K134&lt;=0.000001,0,K134*$B$2/12)</f>
        <v/>
      </c>
      <c r="M134" s="8">
        <f>IF(K134&lt;=0.000001,0,MIN($K$3,K134+L134))</f>
        <v/>
      </c>
    </row>
    <row r="135">
      <c r="A135" s="4" t="n">
        <v>127</v>
      </c>
      <c r="B135" s="8">
        <f>ROUND(B134-D134+C134,8)</f>
        <v/>
      </c>
      <c r="C135" s="8">
        <f>IF(B135&lt;=0.000001,0,B135*$B$2/12)</f>
        <v/>
      </c>
      <c r="D135" s="8">
        <f>IF(B135&lt;=0.000001,0,MIN($B$3,B135+C135))</f>
        <v/>
      </c>
      <c r="E135" s="8">
        <f>ROUND(E134-G134+F134,8)</f>
        <v/>
      </c>
      <c r="F135" s="8">
        <f>IF(E135&lt;=0.000001,0,E135*$B$2/12)</f>
        <v/>
      </c>
      <c r="G135" s="8">
        <f>IF(E135&lt;=0.000001,0,MIN($E$3,E135+F135))</f>
        <v/>
      </c>
      <c r="H135" s="8">
        <f>ROUND(H134-J134+I134,8)</f>
        <v/>
      </c>
      <c r="I135" s="8">
        <f>IF(H135&lt;=0.000001,0,H135*$B$2/12)</f>
        <v/>
      </c>
      <c r="J135" s="8">
        <f>IF(H135&lt;=0.000001,0,MIN($H$3,H135+I135))</f>
        <v/>
      </c>
      <c r="K135" s="8">
        <f>ROUND(K134-M134+L134,8)</f>
        <v/>
      </c>
      <c r="L135" s="8">
        <f>IF(K135&lt;=0.000001,0,K135*$B$2/12)</f>
        <v/>
      </c>
      <c r="M135" s="8">
        <f>IF(K135&lt;=0.000001,0,MIN($K$3,K135+L135))</f>
        <v/>
      </c>
    </row>
    <row r="136">
      <c r="A136" s="4" t="n">
        <v>128</v>
      </c>
      <c r="B136" s="8">
        <f>ROUND(B135-D135+C135,8)</f>
        <v/>
      </c>
      <c r="C136" s="8">
        <f>IF(B136&lt;=0.000001,0,B136*$B$2/12)</f>
        <v/>
      </c>
      <c r="D136" s="8">
        <f>IF(B136&lt;=0.000001,0,MIN($B$3,B136+C136))</f>
        <v/>
      </c>
      <c r="E136" s="8">
        <f>ROUND(E135-G135+F135,8)</f>
        <v/>
      </c>
      <c r="F136" s="8">
        <f>IF(E136&lt;=0.000001,0,E136*$B$2/12)</f>
        <v/>
      </c>
      <c r="G136" s="8">
        <f>IF(E136&lt;=0.000001,0,MIN($E$3,E136+F136))</f>
        <v/>
      </c>
      <c r="H136" s="8">
        <f>ROUND(H135-J135+I135,8)</f>
        <v/>
      </c>
      <c r="I136" s="8">
        <f>IF(H136&lt;=0.000001,0,H136*$B$2/12)</f>
        <v/>
      </c>
      <c r="J136" s="8">
        <f>IF(H136&lt;=0.000001,0,MIN($H$3,H136+I136))</f>
        <v/>
      </c>
      <c r="K136" s="8">
        <f>ROUND(K135-M135+L135,8)</f>
        <v/>
      </c>
      <c r="L136" s="8">
        <f>IF(K136&lt;=0.000001,0,K136*$B$2/12)</f>
        <v/>
      </c>
      <c r="M136" s="8">
        <f>IF(K136&lt;=0.000001,0,MIN($K$3,K136+L136))</f>
        <v/>
      </c>
    </row>
    <row r="137">
      <c r="A137" s="4" t="n">
        <v>129</v>
      </c>
      <c r="B137" s="8">
        <f>ROUND(B136-D136+C136,8)</f>
        <v/>
      </c>
      <c r="C137" s="8">
        <f>IF(B137&lt;=0.000001,0,B137*$B$2/12)</f>
        <v/>
      </c>
      <c r="D137" s="8">
        <f>IF(B137&lt;=0.000001,0,MIN($B$3,B137+C137))</f>
        <v/>
      </c>
      <c r="E137" s="8">
        <f>ROUND(E136-G136+F136,8)</f>
        <v/>
      </c>
      <c r="F137" s="8">
        <f>IF(E137&lt;=0.000001,0,E137*$B$2/12)</f>
        <v/>
      </c>
      <c r="G137" s="8">
        <f>IF(E137&lt;=0.000001,0,MIN($E$3,E137+F137))</f>
        <v/>
      </c>
      <c r="H137" s="8">
        <f>ROUND(H136-J136+I136,8)</f>
        <v/>
      </c>
      <c r="I137" s="8">
        <f>IF(H137&lt;=0.000001,0,H137*$B$2/12)</f>
        <v/>
      </c>
      <c r="J137" s="8">
        <f>IF(H137&lt;=0.000001,0,MIN($H$3,H137+I137))</f>
        <v/>
      </c>
      <c r="K137" s="8">
        <f>ROUND(K136-M136+L136,8)</f>
        <v/>
      </c>
      <c r="L137" s="8">
        <f>IF(K137&lt;=0.000001,0,K137*$B$2/12)</f>
        <v/>
      </c>
      <c r="M137" s="8">
        <f>IF(K137&lt;=0.000001,0,MIN($K$3,K137+L137))</f>
        <v/>
      </c>
    </row>
    <row r="138">
      <c r="A138" s="4" t="n">
        <v>130</v>
      </c>
      <c r="B138" s="8">
        <f>ROUND(B137-D137+C137,8)</f>
        <v/>
      </c>
      <c r="C138" s="8">
        <f>IF(B138&lt;=0.000001,0,B138*$B$2/12)</f>
        <v/>
      </c>
      <c r="D138" s="8">
        <f>IF(B138&lt;=0.000001,0,MIN($B$3,B138+C138))</f>
        <v/>
      </c>
      <c r="E138" s="8">
        <f>ROUND(E137-G137+F137,8)</f>
        <v/>
      </c>
      <c r="F138" s="8">
        <f>IF(E138&lt;=0.000001,0,E138*$B$2/12)</f>
        <v/>
      </c>
      <c r="G138" s="8">
        <f>IF(E138&lt;=0.000001,0,MIN($E$3,E138+F138))</f>
        <v/>
      </c>
      <c r="H138" s="8">
        <f>ROUND(H137-J137+I137,8)</f>
        <v/>
      </c>
      <c r="I138" s="8">
        <f>IF(H138&lt;=0.000001,0,H138*$B$2/12)</f>
        <v/>
      </c>
      <c r="J138" s="8">
        <f>IF(H138&lt;=0.000001,0,MIN($H$3,H138+I138))</f>
        <v/>
      </c>
      <c r="K138" s="8">
        <f>ROUND(K137-M137+L137,8)</f>
        <v/>
      </c>
      <c r="L138" s="8">
        <f>IF(K138&lt;=0.000001,0,K138*$B$2/12)</f>
        <v/>
      </c>
      <c r="M138" s="8">
        <f>IF(K138&lt;=0.000001,0,MIN($K$3,K138+L138))</f>
        <v/>
      </c>
    </row>
    <row r="139">
      <c r="A139" s="4" t="n">
        <v>131</v>
      </c>
      <c r="B139" s="8">
        <f>ROUND(B138-D138+C138,8)</f>
        <v/>
      </c>
      <c r="C139" s="8">
        <f>IF(B139&lt;=0.000001,0,B139*$B$2/12)</f>
        <v/>
      </c>
      <c r="D139" s="8">
        <f>IF(B139&lt;=0.000001,0,MIN($B$3,B139+C139))</f>
        <v/>
      </c>
      <c r="E139" s="8">
        <f>ROUND(E138-G138+F138,8)</f>
        <v/>
      </c>
      <c r="F139" s="8">
        <f>IF(E139&lt;=0.000001,0,E139*$B$2/12)</f>
        <v/>
      </c>
      <c r="G139" s="8">
        <f>IF(E139&lt;=0.000001,0,MIN($E$3,E139+F139))</f>
        <v/>
      </c>
      <c r="H139" s="8">
        <f>ROUND(H138-J138+I138,8)</f>
        <v/>
      </c>
      <c r="I139" s="8">
        <f>IF(H139&lt;=0.000001,0,H139*$B$2/12)</f>
        <v/>
      </c>
      <c r="J139" s="8">
        <f>IF(H139&lt;=0.000001,0,MIN($H$3,H139+I139))</f>
        <v/>
      </c>
      <c r="K139" s="8">
        <f>ROUND(K138-M138+L138,8)</f>
        <v/>
      </c>
      <c r="L139" s="8">
        <f>IF(K139&lt;=0.000001,0,K139*$B$2/12)</f>
        <v/>
      </c>
      <c r="M139" s="8">
        <f>IF(K139&lt;=0.000001,0,MIN($K$3,K139+L139))</f>
        <v/>
      </c>
    </row>
    <row r="140">
      <c r="A140" s="4" t="n">
        <v>132</v>
      </c>
      <c r="B140" s="8">
        <f>ROUND(B139-D139+C139,8)</f>
        <v/>
      </c>
      <c r="C140" s="8">
        <f>IF(B140&lt;=0.000001,0,B140*$B$2/12)</f>
        <v/>
      </c>
      <c r="D140" s="8">
        <f>IF(B140&lt;=0.000001,0,MIN($B$3,B140+C140))</f>
        <v/>
      </c>
      <c r="E140" s="8">
        <f>ROUND(E139-G139+F139,8)</f>
        <v/>
      </c>
      <c r="F140" s="8">
        <f>IF(E140&lt;=0.000001,0,E140*$B$2/12)</f>
        <v/>
      </c>
      <c r="G140" s="8">
        <f>IF(E140&lt;=0.000001,0,MIN($E$3,E140+F140))</f>
        <v/>
      </c>
      <c r="H140" s="8">
        <f>ROUND(H139-J139+I139,8)</f>
        <v/>
      </c>
      <c r="I140" s="8">
        <f>IF(H140&lt;=0.000001,0,H140*$B$2/12)</f>
        <v/>
      </c>
      <c r="J140" s="8">
        <f>IF(H140&lt;=0.000001,0,MIN($H$3,H140+I140))</f>
        <v/>
      </c>
      <c r="K140" s="8">
        <f>ROUND(K139-M139+L139,8)</f>
        <v/>
      </c>
      <c r="L140" s="8">
        <f>IF(K140&lt;=0.000001,0,K140*$B$2/12)</f>
        <v/>
      </c>
      <c r="M140" s="8">
        <f>IF(K140&lt;=0.000001,0,MIN($K$3,K140+L140))</f>
        <v/>
      </c>
    </row>
    <row r="141">
      <c r="A141" s="4" t="n">
        <v>133</v>
      </c>
      <c r="B141" s="8">
        <f>ROUND(B140-D140+C140,8)</f>
        <v/>
      </c>
      <c r="C141" s="8">
        <f>IF(B141&lt;=0.000001,0,B141*$B$2/12)</f>
        <v/>
      </c>
      <c r="D141" s="8">
        <f>IF(B141&lt;=0.000001,0,MIN($B$3,B141+C141))</f>
        <v/>
      </c>
      <c r="E141" s="8">
        <f>ROUND(E140-G140+F140,8)</f>
        <v/>
      </c>
      <c r="F141" s="8">
        <f>IF(E141&lt;=0.000001,0,E141*$B$2/12)</f>
        <v/>
      </c>
      <c r="G141" s="8">
        <f>IF(E141&lt;=0.000001,0,MIN($E$3,E141+F141))</f>
        <v/>
      </c>
      <c r="H141" s="8">
        <f>ROUND(H140-J140+I140,8)</f>
        <v/>
      </c>
      <c r="I141" s="8">
        <f>IF(H141&lt;=0.000001,0,H141*$B$2/12)</f>
        <v/>
      </c>
      <c r="J141" s="8">
        <f>IF(H141&lt;=0.000001,0,MIN($H$3,H141+I141))</f>
        <v/>
      </c>
      <c r="K141" s="8">
        <f>ROUND(K140-M140+L140,8)</f>
        <v/>
      </c>
      <c r="L141" s="8">
        <f>IF(K141&lt;=0.000001,0,K141*$B$2/12)</f>
        <v/>
      </c>
      <c r="M141" s="8">
        <f>IF(K141&lt;=0.000001,0,MIN($K$3,K141+L141))</f>
        <v/>
      </c>
    </row>
    <row r="142">
      <c r="A142" s="4" t="n">
        <v>134</v>
      </c>
      <c r="B142" s="8">
        <f>ROUND(B141-D141+C141,8)</f>
        <v/>
      </c>
      <c r="C142" s="8">
        <f>IF(B142&lt;=0.000001,0,B142*$B$2/12)</f>
        <v/>
      </c>
      <c r="D142" s="8">
        <f>IF(B142&lt;=0.000001,0,MIN($B$3,B142+C142))</f>
        <v/>
      </c>
      <c r="E142" s="8">
        <f>ROUND(E141-G141+F141,8)</f>
        <v/>
      </c>
      <c r="F142" s="8">
        <f>IF(E142&lt;=0.000001,0,E142*$B$2/12)</f>
        <v/>
      </c>
      <c r="G142" s="8">
        <f>IF(E142&lt;=0.000001,0,MIN($E$3,E142+F142))</f>
        <v/>
      </c>
      <c r="H142" s="8">
        <f>ROUND(H141-J141+I141,8)</f>
        <v/>
      </c>
      <c r="I142" s="8">
        <f>IF(H142&lt;=0.000001,0,H142*$B$2/12)</f>
        <v/>
      </c>
      <c r="J142" s="8">
        <f>IF(H142&lt;=0.000001,0,MIN($H$3,H142+I142))</f>
        <v/>
      </c>
      <c r="K142" s="8">
        <f>ROUND(K141-M141+L141,8)</f>
        <v/>
      </c>
      <c r="L142" s="8">
        <f>IF(K142&lt;=0.000001,0,K142*$B$2/12)</f>
        <v/>
      </c>
      <c r="M142" s="8">
        <f>IF(K142&lt;=0.000001,0,MIN($K$3,K142+L142))</f>
        <v/>
      </c>
    </row>
    <row r="143">
      <c r="A143" s="4" t="n">
        <v>135</v>
      </c>
      <c r="B143" s="8">
        <f>ROUND(B142-D142+C142,8)</f>
        <v/>
      </c>
      <c r="C143" s="8">
        <f>IF(B143&lt;=0.000001,0,B143*$B$2/12)</f>
        <v/>
      </c>
      <c r="D143" s="8">
        <f>IF(B143&lt;=0.000001,0,MIN($B$3,B143+C143))</f>
        <v/>
      </c>
      <c r="E143" s="8">
        <f>ROUND(E142-G142+F142,8)</f>
        <v/>
      </c>
      <c r="F143" s="8">
        <f>IF(E143&lt;=0.000001,0,E143*$B$2/12)</f>
        <v/>
      </c>
      <c r="G143" s="8">
        <f>IF(E143&lt;=0.000001,0,MIN($E$3,E143+F143))</f>
        <v/>
      </c>
      <c r="H143" s="8">
        <f>ROUND(H142-J142+I142,8)</f>
        <v/>
      </c>
      <c r="I143" s="8">
        <f>IF(H143&lt;=0.000001,0,H143*$B$2/12)</f>
        <v/>
      </c>
      <c r="J143" s="8">
        <f>IF(H143&lt;=0.000001,0,MIN($H$3,H143+I143))</f>
        <v/>
      </c>
      <c r="K143" s="8">
        <f>ROUND(K142-M142+L142,8)</f>
        <v/>
      </c>
      <c r="L143" s="8">
        <f>IF(K143&lt;=0.000001,0,K143*$B$2/12)</f>
        <v/>
      </c>
      <c r="M143" s="8">
        <f>IF(K143&lt;=0.000001,0,MIN($K$3,K143+L143))</f>
        <v/>
      </c>
    </row>
    <row r="144">
      <c r="A144" s="4" t="n">
        <v>136</v>
      </c>
      <c r="B144" s="8">
        <f>ROUND(B143-D143+C143,8)</f>
        <v/>
      </c>
      <c r="C144" s="8">
        <f>IF(B144&lt;=0.000001,0,B144*$B$2/12)</f>
        <v/>
      </c>
      <c r="D144" s="8">
        <f>IF(B144&lt;=0.000001,0,MIN($B$3,B144+C144))</f>
        <v/>
      </c>
      <c r="E144" s="8">
        <f>ROUND(E143-G143+F143,8)</f>
        <v/>
      </c>
      <c r="F144" s="8">
        <f>IF(E144&lt;=0.000001,0,E144*$B$2/12)</f>
        <v/>
      </c>
      <c r="G144" s="8">
        <f>IF(E144&lt;=0.000001,0,MIN($E$3,E144+F144))</f>
        <v/>
      </c>
      <c r="H144" s="8">
        <f>ROUND(H143-J143+I143,8)</f>
        <v/>
      </c>
      <c r="I144" s="8">
        <f>IF(H144&lt;=0.000001,0,H144*$B$2/12)</f>
        <v/>
      </c>
      <c r="J144" s="8">
        <f>IF(H144&lt;=0.000001,0,MIN($H$3,H144+I144))</f>
        <v/>
      </c>
      <c r="K144" s="8">
        <f>ROUND(K143-M143+L143,8)</f>
        <v/>
      </c>
      <c r="L144" s="8">
        <f>IF(K144&lt;=0.000001,0,K144*$B$2/12)</f>
        <v/>
      </c>
      <c r="M144" s="8">
        <f>IF(K144&lt;=0.000001,0,MIN($K$3,K144+L144))</f>
        <v/>
      </c>
    </row>
    <row r="145">
      <c r="A145" s="4" t="n">
        <v>137</v>
      </c>
      <c r="B145" s="8">
        <f>ROUND(B144-D144+C144,8)</f>
        <v/>
      </c>
      <c r="C145" s="8">
        <f>IF(B145&lt;=0.000001,0,B145*$B$2/12)</f>
        <v/>
      </c>
      <c r="D145" s="8">
        <f>IF(B145&lt;=0.000001,0,MIN($B$3,B145+C145))</f>
        <v/>
      </c>
      <c r="E145" s="8">
        <f>ROUND(E144-G144+F144,8)</f>
        <v/>
      </c>
      <c r="F145" s="8">
        <f>IF(E145&lt;=0.000001,0,E145*$B$2/12)</f>
        <v/>
      </c>
      <c r="G145" s="8">
        <f>IF(E145&lt;=0.000001,0,MIN($E$3,E145+F145))</f>
        <v/>
      </c>
      <c r="H145" s="8">
        <f>ROUND(H144-J144+I144,8)</f>
        <v/>
      </c>
      <c r="I145" s="8">
        <f>IF(H145&lt;=0.000001,0,H145*$B$2/12)</f>
        <v/>
      </c>
      <c r="J145" s="8">
        <f>IF(H145&lt;=0.000001,0,MIN($H$3,H145+I145))</f>
        <v/>
      </c>
      <c r="K145" s="8">
        <f>ROUND(K144-M144+L144,8)</f>
        <v/>
      </c>
      <c r="L145" s="8">
        <f>IF(K145&lt;=0.000001,0,K145*$B$2/12)</f>
        <v/>
      </c>
      <c r="M145" s="8">
        <f>IF(K145&lt;=0.000001,0,MIN($K$3,K145+L145))</f>
        <v/>
      </c>
    </row>
    <row r="146">
      <c r="A146" s="4" t="n">
        <v>138</v>
      </c>
      <c r="B146" s="8">
        <f>ROUND(B145-D145+C145,8)</f>
        <v/>
      </c>
      <c r="C146" s="8">
        <f>IF(B146&lt;=0.000001,0,B146*$B$2/12)</f>
        <v/>
      </c>
      <c r="D146" s="8">
        <f>IF(B146&lt;=0.000001,0,MIN($B$3,B146+C146))</f>
        <v/>
      </c>
      <c r="E146" s="8">
        <f>ROUND(E145-G145+F145,8)</f>
        <v/>
      </c>
      <c r="F146" s="8">
        <f>IF(E146&lt;=0.000001,0,E146*$B$2/12)</f>
        <v/>
      </c>
      <c r="G146" s="8">
        <f>IF(E146&lt;=0.000001,0,MIN($E$3,E146+F146))</f>
        <v/>
      </c>
      <c r="H146" s="8">
        <f>ROUND(H145-J145+I145,8)</f>
        <v/>
      </c>
      <c r="I146" s="8">
        <f>IF(H146&lt;=0.000001,0,H146*$B$2/12)</f>
        <v/>
      </c>
      <c r="J146" s="8">
        <f>IF(H146&lt;=0.000001,0,MIN($H$3,H146+I146))</f>
        <v/>
      </c>
      <c r="K146" s="8">
        <f>ROUND(K145-M145+L145,8)</f>
        <v/>
      </c>
      <c r="L146" s="8">
        <f>IF(K146&lt;=0.000001,0,K146*$B$2/12)</f>
        <v/>
      </c>
      <c r="M146" s="8">
        <f>IF(K146&lt;=0.000001,0,MIN($K$3,K146+L146))</f>
        <v/>
      </c>
    </row>
    <row r="147">
      <c r="A147" s="4" t="n">
        <v>139</v>
      </c>
      <c r="B147" s="8">
        <f>ROUND(B146-D146+C146,8)</f>
        <v/>
      </c>
      <c r="C147" s="8">
        <f>IF(B147&lt;=0.000001,0,B147*$B$2/12)</f>
        <v/>
      </c>
      <c r="D147" s="8">
        <f>IF(B147&lt;=0.000001,0,MIN($B$3,B147+C147))</f>
        <v/>
      </c>
      <c r="E147" s="8">
        <f>ROUND(E146-G146+F146,8)</f>
        <v/>
      </c>
      <c r="F147" s="8">
        <f>IF(E147&lt;=0.000001,0,E147*$B$2/12)</f>
        <v/>
      </c>
      <c r="G147" s="8">
        <f>IF(E147&lt;=0.000001,0,MIN($E$3,E147+F147))</f>
        <v/>
      </c>
      <c r="H147" s="8">
        <f>ROUND(H146-J146+I146,8)</f>
        <v/>
      </c>
      <c r="I147" s="8">
        <f>IF(H147&lt;=0.000001,0,H147*$B$2/12)</f>
        <v/>
      </c>
      <c r="J147" s="8">
        <f>IF(H147&lt;=0.000001,0,MIN($H$3,H147+I147))</f>
        <v/>
      </c>
      <c r="K147" s="8">
        <f>ROUND(K146-M146+L146,8)</f>
        <v/>
      </c>
      <c r="L147" s="8">
        <f>IF(K147&lt;=0.000001,0,K147*$B$2/12)</f>
        <v/>
      </c>
      <c r="M147" s="8">
        <f>IF(K147&lt;=0.000001,0,MIN($K$3,K147+L147))</f>
        <v/>
      </c>
    </row>
    <row r="148">
      <c r="A148" s="4" t="n">
        <v>140</v>
      </c>
      <c r="B148" s="8">
        <f>ROUND(B147-D147+C147,8)</f>
        <v/>
      </c>
      <c r="C148" s="8">
        <f>IF(B148&lt;=0.000001,0,B148*$B$2/12)</f>
        <v/>
      </c>
      <c r="D148" s="8">
        <f>IF(B148&lt;=0.000001,0,MIN($B$3,B148+C148))</f>
        <v/>
      </c>
      <c r="E148" s="8">
        <f>ROUND(E147-G147+F147,8)</f>
        <v/>
      </c>
      <c r="F148" s="8">
        <f>IF(E148&lt;=0.000001,0,E148*$B$2/12)</f>
        <v/>
      </c>
      <c r="G148" s="8">
        <f>IF(E148&lt;=0.000001,0,MIN($E$3,E148+F148))</f>
        <v/>
      </c>
      <c r="H148" s="8">
        <f>ROUND(H147-J147+I147,8)</f>
        <v/>
      </c>
      <c r="I148" s="8">
        <f>IF(H148&lt;=0.000001,0,H148*$B$2/12)</f>
        <v/>
      </c>
      <c r="J148" s="8">
        <f>IF(H148&lt;=0.000001,0,MIN($H$3,H148+I148))</f>
        <v/>
      </c>
      <c r="K148" s="8">
        <f>ROUND(K147-M147+L147,8)</f>
        <v/>
      </c>
      <c r="L148" s="8">
        <f>IF(K148&lt;=0.000001,0,K148*$B$2/12)</f>
        <v/>
      </c>
      <c r="M148" s="8">
        <f>IF(K148&lt;=0.000001,0,MIN($K$3,K148+L148))</f>
        <v/>
      </c>
    </row>
    <row r="149">
      <c r="A149" s="4" t="n">
        <v>141</v>
      </c>
      <c r="B149" s="8">
        <f>ROUND(B148-D148+C148,8)</f>
        <v/>
      </c>
      <c r="C149" s="8">
        <f>IF(B149&lt;=0.000001,0,B149*$B$2/12)</f>
        <v/>
      </c>
      <c r="D149" s="8">
        <f>IF(B149&lt;=0.000001,0,MIN($B$3,B149+C149))</f>
        <v/>
      </c>
      <c r="E149" s="8">
        <f>ROUND(E148-G148+F148,8)</f>
        <v/>
      </c>
      <c r="F149" s="8">
        <f>IF(E149&lt;=0.000001,0,E149*$B$2/12)</f>
        <v/>
      </c>
      <c r="G149" s="8">
        <f>IF(E149&lt;=0.000001,0,MIN($E$3,E149+F149))</f>
        <v/>
      </c>
      <c r="H149" s="8">
        <f>ROUND(H148-J148+I148,8)</f>
        <v/>
      </c>
      <c r="I149" s="8">
        <f>IF(H149&lt;=0.000001,0,H149*$B$2/12)</f>
        <v/>
      </c>
      <c r="J149" s="8">
        <f>IF(H149&lt;=0.000001,0,MIN($H$3,H149+I149))</f>
        <v/>
      </c>
      <c r="K149" s="8">
        <f>ROUND(K148-M148+L148,8)</f>
        <v/>
      </c>
      <c r="L149" s="8">
        <f>IF(K149&lt;=0.000001,0,K149*$B$2/12)</f>
        <v/>
      </c>
      <c r="M149" s="8">
        <f>IF(K149&lt;=0.000001,0,MIN($K$3,K149+L149))</f>
        <v/>
      </c>
    </row>
    <row r="150">
      <c r="A150" s="4" t="n">
        <v>142</v>
      </c>
      <c r="B150" s="8">
        <f>ROUND(B149-D149+C149,8)</f>
        <v/>
      </c>
      <c r="C150" s="8">
        <f>IF(B150&lt;=0.000001,0,B150*$B$2/12)</f>
        <v/>
      </c>
      <c r="D150" s="8">
        <f>IF(B150&lt;=0.000001,0,MIN($B$3,B150+C150))</f>
        <v/>
      </c>
      <c r="E150" s="8">
        <f>ROUND(E149-G149+F149,8)</f>
        <v/>
      </c>
      <c r="F150" s="8">
        <f>IF(E150&lt;=0.000001,0,E150*$B$2/12)</f>
        <v/>
      </c>
      <c r="G150" s="8">
        <f>IF(E150&lt;=0.000001,0,MIN($E$3,E150+F150))</f>
        <v/>
      </c>
      <c r="H150" s="8">
        <f>ROUND(H149-J149+I149,8)</f>
        <v/>
      </c>
      <c r="I150" s="8">
        <f>IF(H150&lt;=0.000001,0,H150*$B$2/12)</f>
        <v/>
      </c>
      <c r="J150" s="8">
        <f>IF(H150&lt;=0.000001,0,MIN($H$3,H150+I150))</f>
        <v/>
      </c>
      <c r="K150" s="8">
        <f>ROUND(K149-M149+L149,8)</f>
        <v/>
      </c>
      <c r="L150" s="8">
        <f>IF(K150&lt;=0.000001,0,K150*$B$2/12)</f>
        <v/>
      </c>
      <c r="M150" s="8">
        <f>IF(K150&lt;=0.000001,0,MIN($K$3,K150+L150))</f>
        <v/>
      </c>
    </row>
    <row r="151">
      <c r="A151" s="4" t="n">
        <v>143</v>
      </c>
      <c r="B151" s="8">
        <f>ROUND(B150-D150+C150,8)</f>
        <v/>
      </c>
      <c r="C151" s="8">
        <f>IF(B151&lt;=0.000001,0,B151*$B$2/12)</f>
        <v/>
      </c>
      <c r="D151" s="8">
        <f>IF(B151&lt;=0.000001,0,MIN($B$3,B151+C151))</f>
        <v/>
      </c>
      <c r="E151" s="8">
        <f>ROUND(E150-G150+F150,8)</f>
        <v/>
      </c>
      <c r="F151" s="8">
        <f>IF(E151&lt;=0.000001,0,E151*$B$2/12)</f>
        <v/>
      </c>
      <c r="G151" s="8">
        <f>IF(E151&lt;=0.000001,0,MIN($E$3,E151+F151))</f>
        <v/>
      </c>
      <c r="H151" s="8">
        <f>ROUND(H150-J150+I150,8)</f>
        <v/>
      </c>
      <c r="I151" s="8">
        <f>IF(H151&lt;=0.000001,0,H151*$B$2/12)</f>
        <v/>
      </c>
      <c r="J151" s="8">
        <f>IF(H151&lt;=0.000001,0,MIN($H$3,H151+I151))</f>
        <v/>
      </c>
      <c r="K151" s="8">
        <f>ROUND(K150-M150+L150,8)</f>
        <v/>
      </c>
      <c r="L151" s="8">
        <f>IF(K151&lt;=0.000001,0,K151*$B$2/12)</f>
        <v/>
      </c>
      <c r="M151" s="8">
        <f>IF(K151&lt;=0.000001,0,MIN($K$3,K151+L151))</f>
        <v/>
      </c>
    </row>
    <row r="152">
      <c r="A152" s="4" t="n">
        <v>144</v>
      </c>
      <c r="B152" s="8">
        <f>ROUND(B151-D151+C151,8)</f>
        <v/>
      </c>
      <c r="C152" s="8">
        <f>IF(B152&lt;=0.000001,0,B152*$B$2/12)</f>
        <v/>
      </c>
      <c r="D152" s="8">
        <f>IF(B152&lt;=0.000001,0,MIN($B$3,B152+C152))</f>
        <v/>
      </c>
      <c r="E152" s="8">
        <f>ROUND(E151-G151+F151,8)</f>
        <v/>
      </c>
      <c r="F152" s="8">
        <f>IF(E152&lt;=0.000001,0,E152*$B$2/12)</f>
        <v/>
      </c>
      <c r="G152" s="8">
        <f>IF(E152&lt;=0.000001,0,MIN($E$3,E152+F152))</f>
        <v/>
      </c>
      <c r="H152" s="8">
        <f>ROUND(H151-J151+I151,8)</f>
        <v/>
      </c>
      <c r="I152" s="8">
        <f>IF(H152&lt;=0.000001,0,H152*$B$2/12)</f>
        <v/>
      </c>
      <c r="J152" s="8">
        <f>IF(H152&lt;=0.000001,0,MIN($H$3,H152+I152))</f>
        <v/>
      </c>
      <c r="K152" s="8">
        <f>ROUND(K151-M151+L151,8)</f>
        <v/>
      </c>
      <c r="L152" s="8">
        <f>IF(K152&lt;=0.000001,0,K152*$B$2/12)</f>
        <v/>
      </c>
      <c r="M152" s="8">
        <f>IF(K152&lt;=0.000001,0,MIN($K$3,K152+L152))</f>
        <v/>
      </c>
    </row>
    <row r="153">
      <c r="A153" s="4" t="n">
        <v>145</v>
      </c>
      <c r="B153" s="8">
        <f>ROUND(B152-D152+C152,8)</f>
        <v/>
      </c>
      <c r="C153" s="8">
        <f>IF(B153&lt;=0.000001,0,B153*$B$2/12)</f>
        <v/>
      </c>
      <c r="D153" s="8">
        <f>IF(B153&lt;=0.000001,0,MIN($B$3,B153+C153))</f>
        <v/>
      </c>
      <c r="E153" s="8">
        <f>ROUND(E152-G152+F152,8)</f>
        <v/>
      </c>
      <c r="F153" s="8">
        <f>IF(E153&lt;=0.000001,0,E153*$B$2/12)</f>
        <v/>
      </c>
      <c r="G153" s="8">
        <f>IF(E153&lt;=0.000001,0,MIN($E$3,E153+F153))</f>
        <v/>
      </c>
      <c r="H153" s="8">
        <f>ROUND(H152-J152+I152,8)</f>
        <v/>
      </c>
      <c r="I153" s="8">
        <f>IF(H153&lt;=0.000001,0,H153*$B$2/12)</f>
        <v/>
      </c>
      <c r="J153" s="8">
        <f>IF(H153&lt;=0.000001,0,MIN($H$3,H153+I153))</f>
        <v/>
      </c>
      <c r="K153" s="8">
        <f>ROUND(K152-M152+L152,8)</f>
        <v/>
      </c>
      <c r="L153" s="8">
        <f>IF(K153&lt;=0.000001,0,K153*$B$2/12)</f>
        <v/>
      </c>
      <c r="M153" s="8">
        <f>IF(K153&lt;=0.000001,0,MIN($K$3,K153+L153))</f>
        <v/>
      </c>
    </row>
    <row r="154">
      <c r="A154" s="4" t="n">
        <v>146</v>
      </c>
      <c r="B154" s="8">
        <f>ROUND(B153-D153+C153,8)</f>
        <v/>
      </c>
      <c r="C154" s="8">
        <f>IF(B154&lt;=0.000001,0,B154*$B$2/12)</f>
        <v/>
      </c>
      <c r="D154" s="8">
        <f>IF(B154&lt;=0.000001,0,MIN($B$3,B154+C154))</f>
        <v/>
      </c>
      <c r="E154" s="8">
        <f>ROUND(E153-G153+F153,8)</f>
        <v/>
      </c>
      <c r="F154" s="8">
        <f>IF(E154&lt;=0.000001,0,E154*$B$2/12)</f>
        <v/>
      </c>
      <c r="G154" s="8">
        <f>IF(E154&lt;=0.000001,0,MIN($E$3,E154+F154))</f>
        <v/>
      </c>
      <c r="H154" s="8">
        <f>ROUND(H153-J153+I153,8)</f>
        <v/>
      </c>
      <c r="I154" s="8">
        <f>IF(H154&lt;=0.000001,0,H154*$B$2/12)</f>
        <v/>
      </c>
      <c r="J154" s="8">
        <f>IF(H154&lt;=0.000001,0,MIN($H$3,H154+I154))</f>
        <v/>
      </c>
      <c r="K154" s="8">
        <f>ROUND(K153-M153+L153,8)</f>
        <v/>
      </c>
      <c r="L154" s="8">
        <f>IF(K154&lt;=0.000001,0,K154*$B$2/12)</f>
        <v/>
      </c>
      <c r="M154" s="8">
        <f>IF(K154&lt;=0.000001,0,MIN($K$3,K154+L154))</f>
        <v/>
      </c>
    </row>
    <row r="155">
      <c r="A155" s="4" t="n">
        <v>147</v>
      </c>
      <c r="B155" s="8">
        <f>ROUND(B154-D154+C154,8)</f>
        <v/>
      </c>
      <c r="C155" s="8">
        <f>IF(B155&lt;=0.000001,0,B155*$B$2/12)</f>
        <v/>
      </c>
      <c r="D155" s="8">
        <f>IF(B155&lt;=0.000001,0,MIN($B$3,B155+C155))</f>
        <v/>
      </c>
      <c r="E155" s="8">
        <f>ROUND(E154-G154+F154,8)</f>
        <v/>
      </c>
      <c r="F155" s="8">
        <f>IF(E155&lt;=0.000001,0,E155*$B$2/12)</f>
        <v/>
      </c>
      <c r="G155" s="8">
        <f>IF(E155&lt;=0.000001,0,MIN($E$3,E155+F155))</f>
        <v/>
      </c>
      <c r="H155" s="8">
        <f>ROUND(H154-J154+I154,8)</f>
        <v/>
      </c>
      <c r="I155" s="8">
        <f>IF(H155&lt;=0.000001,0,H155*$B$2/12)</f>
        <v/>
      </c>
      <c r="J155" s="8">
        <f>IF(H155&lt;=0.000001,0,MIN($H$3,H155+I155))</f>
        <v/>
      </c>
      <c r="K155" s="8">
        <f>ROUND(K154-M154+L154,8)</f>
        <v/>
      </c>
      <c r="L155" s="8">
        <f>IF(K155&lt;=0.000001,0,K155*$B$2/12)</f>
        <v/>
      </c>
      <c r="M155" s="8">
        <f>IF(K155&lt;=0.000001,0,MIN($K$3,K155+L155))</f>
        <v/>
      </c>
    </row>
    <row r="156">
      <c r="A156" s="4" t="n">
        <v>148</v>
      </c>
      <c r="B156" s="8">
        <f>ROUND(B155-D155+C155,8)</f>
        <v/>
      </c>
      <c r="C156" s="8">
        <f>IF(B156&lt;=0.000001,0,B156*$B$2/12)</f>
        <v/>
      </c>
      <c r="D156" s="8">
        <f>IF(B156&lt;=0.000001,0,MIN($B$3,B156+C156))</f>
        <v/>
      </c>
      <c r="E156" s="8">
        <f>ROUND(E155-G155+F155,8)</f>
        <v/>
      </c>
      <c r="F156" s="8">
        <f>IF(E156&lt;=0.000001,0,E156*$B$2/12)</f>
        <v/>
      </c>
      <c r="G156" s="8">
        <f>IF(E156&lt;=0.000001,0,MIN($E$3,E156+F156))</f>
        <v/>
      </c>
      <c r="H156" s="8">
        <f>ROUND(H155-J155+I155,8)</f>
        <v/>
      </c>
      <c r="I156" s="8">
        <f>IF(H156&lt;=0.000001,0,H156*$B$2/12)</f>
        <v/>
      </c>
      <c r="J156" s="8">
        <f>IF(H156&lt;=0.000001,0,MIN($H$3,H156+I156))</f>
        <v/>
      </c>
      <c r="K156" s="8">
        <f>ROUND(K155-M155+L155,8)</f>
        <v/>
      </c>
      <c r="L156" s="8">
        <f>IF(K156&lt;=0.000001,0,K156*$B$2/12)</f>
        <v/>
      </c>
      <c r="M156" s="8">
        <f>IF(K156&lt;=0.000001,0,MIN($K$3,K156+L156))</f>
        <v/>
      </c>
    </row>
    <row r="157">
      <c r="A157" s="4" t="n">
        <v>149</v>
      </c>
      <c r="B157" s="8">
        <f>ROUND(B156-D156+C156,8)</f>
        <v/>
      </c>
      <c r="C157" s="8">
        <f>IF(B157&lt;=0.000001,0,B157*$B$2/12)</f>
        <v/>
      </c>
      <c r="D157" s="8">
        <f>IF(B157&lt;=0.000001,0,MIN($B$3,B157+C157))</f>
        <v/>
      </c>
      <c r="E157" s="8">
        <f>ROUND(E156-G156+F156,8)</f>
        <v/>
      </c>
      <c r="F157" s="8">
        <f>IF(E157&lt;=0.000001,0,E157*$B$2/12)</f>
        <v/>
      </c>
      <c r="G157" s="8">
        <f>IF(E157&lt;=0.000001,0,MIN($E$3,E157+F157))</f>
        <v/>
      </c>
      <c r="H157" s="8">
        <f>ROUND(H156-J156+I156,8)</f>
        <v/>
      </c>
      <c r="I157" s="8">
        <f>IF(H157&lt;=0.000001,0,H157*$B$2/12)</f>
        <v/>
      </c>
      <c r="J157" s="8">
        <f>IF(H157&lt;=0.000001,0,MIN($H$3,H157+I157))</f>
        <v/>
      </c>
      <c r="K157" s="8">
        <f>ROUND(K156-M156+L156,8)</f>
        <v/>
      </c>
      <c r="L157" s="8">
        <f>IF(K157&lt;=0.000001,0,K157*$B$2/12)</f>
        <v/>
      </c>
      <c r="M157" s="8">
        <f>IF(K157&lt;=0.000001,0,MIN($K$3,K157+L157))</f>
        <v/>
      </c>
    </row>
    <row r="158">
      <c r="A158" s="4" t="n">
        <v>150</v>
      </c>
      <c r="B158" s="8">
        <f>ROUND(B157-D157+C157,8)</f>
        <v/>
      </c>
      <c r="C158" s="8">
        <f>IF(B158&lt;=0.000001,0,B158*$B$2/12)</f>
        <v/>
      </c>
      <c r="D158" s="8">
        <f>IF(B158&lt;=0.000001,0,MIN($B$3,B158+C158))</f>
        <v/>
      </c>
      <c r="E158" s="8">
        <f>ROUND(E157-G157+F157,8)</f>
        <v/>
      </c>
      <c r="F158" s="8">
        <f>IF(E158&lt;=0.000001,0,E158*$B$2/12)</f>
        <v/>
      </c>
      <c r="G158" s="8">
        <f>IF(E158&lt;=0.000001,0,MIN($E$3,E158+F158))</f>
        <v/>
      </c>
      <c r="H158" s="8">
        <f>ROUND(H157-J157+I157,8)</f>
        <v/>
      </c>
      <c r="I158" s="8">
        <f>IF(H158&lt;=0.000001,0,H158*$B$2/12)</f>
        <v/>
      </c>
      <c r="J158" s="8">
        <f>IF(H158&lt;=0.000001,0,MIN($H$3,H158+I158))</f>
        <v/>
      </c>
      <c r="K158" s="8">
        <f>ROUND(K157-M157+L157,8)</f>
        <v/>
      </c>
      <c r="L158" s="8">
        <f>IF(K158&lt;=0.000001,0,K158*$B$2/12)</f>
        <v/>
      </c>
      <c r="M158" s="8">
        <f>IF(K158&lt;=0.000001,0,MIN($K$3,K158+L158))</f>
        <v/>
      </c>
    </row>
    <row r="159">
      <c r="A159" s="4" t="n">
        <v>151</v>
      </c>
      <c r="B159" s="8">
        <f>ROUND(B158-D158+C158,8)</f>
        <v/>
      </c>
      <c r="C159" s="8">
        <f>IF(B159&lt;=0.000001,0,B159*$B$2/12)</f>
        <v/>
      </c>
      <c r="D159" s="8">
        <f>IF(B159&lt;=0.000001,0,MIN($B$3,B159+C159))</f>
        <v/>
      </c>
      <c r="E159" s="8">
        <f>ROUND(E158-G158+F158,8)</f>
        <v/>
      </c>
      <c r="F159" s="8">
        <f>IF(E159&lt;=0.000001,0,E159*$B$2/12)</f>
        <v/>
      </c>
      <c r="G159" s="8">
        <f>IF(E159&lt;=0.000001,0,MIN($E$3,E159+F159))</f>
        <v/>
      </c>
      <c r="H159" s="8">
        <f>ROUND(H158-J158+I158,8)</f>
        <v/>
      </c>
      <c r="I159" s="8">
        <f>IF(H159&lt;=0.000001,0,H159*$B$2/12)</f>
        <v/>
      </c>
      <c r="J159" s="8">
        <f>IF(H159&lt;=0.000001,0,MIN($H$3,H159+I159))</f>
        <v/>
      </c>
      <c r="K159" s="8">
        <f>ROUND(K158-M158+L158,8)</f>
        <v/>
      </c>
      <c r="L159" s="8">
        <f>IF(K159&lt;=0.000001,0,K159*$B$2/12)</f>
        <v/>
      </c>
      <c r="M159" s="8">
        <f>IF(K159&lt;=0.000001,0,MIN($K$3,K159+L159))</f>
        <v/>
      </c>
    </row>
    <row r="160">
      <c r="A160" s="4" t="n">
        <v>152</v>
      </c>
      <c r="B160" s="8">
        <f>ROUND(B159-D159+C159,8)</f>
        <v/>
      </c>
      <c r="C160" s="8">
        <f>IF(B160&lt;=0.000001,0,B160*$B$2/12)</f>
        <v/>
      </c>
      <c r="D160" s="8">
        <f>IF(B160&lt;=0.000001,0,MIN($B$3,B160+C160))</f>
        <v/>
      </c>
      <c r="E160" s="8">
        <f>ROUND(E159-G159+F159,8)</f>
        <v/>
      </c>
      <c r="F160" s="8">
        <f>IF(E160&lt;=0.000001,0,E160*$B$2/12)</f>
        <v/>
      </c>
      <c r="G160" s="8">
        <f>IF(E160&lt;=0.000001,0,MIN($E$3,E160+F160))</f>
        <v/>
      </c>
      <c r="H160" s="8">
        <f>ROUND(H159-J159+I159,8)</f>
        <v/>
      </c>
      <c r="I160" s="8">
        <f>IF(H160&lt;=0.000001,0,H160*$B$2/12)</f>
        <v/>
      </c>
      <c r="J160" s="8">
        <f>IF(H160&lt;=0.000001,0,MIN($H$3,H160+I160))</f>
        <v/>
      </c>
      <c r="K160" s="8">
        <f>ROUND(K159-M159+L159,8)</f>
        <v/>
      </c>
      <c r="L160" s="8">
        <f>IF(K160&lt;=0.000001,0,K160*$B$2/12)</f>
        <v/>
      </c>
      <c r="M160" s="8">
        <f>IF(K160&lt;=0.000001,0,MIN($K$3,K160+L160))</f>
        <v/>
      </c>
    </row>
    <row r="161">
      <c r="A161" s="4" t="n">
        <v>153</v>
      </c>
      <c r="B161" s="8">
        <f>ROUND(B160-D160+C160,8)</f>
        <v/>
      </c>
      <c r="C161" s="8">
        <f>IF(B161&lt;=0.000001,0,B161*$B$2/12)</f>
        <v/>
      </c>
      <c r="D161" s="8">
        <f>IF(B161&lt;=0.000001,0,MIN($B$3,B161+C161))</f>
        <v/>
      </c>
      <c r="E161" s="8">
        <f>ROUND(E160-G160+F160,8)</f>
        <v/>
      </c>
      <c r="F161" s="8">
        <f>IF(E161&lt;=0.000001,0,E161*$B$2/12)</f>
        <v/>
      </c>
      <c r="G161" s="8">
        <f>IF(E161&lt;=0.000001,0,MIN($E$3,E161+F161))</f>
        <v/>
      </c>
      <c r="H161" s="8">
        <f>ROUND(H160-J160+I160,8)</f>
        <v/>
      </c>
      <c r="I161" s="8">
        <f>IF(H161&lt;=0.000001,0,H161*$B$2/12)</f>
        <v/>
      </c>
      <c r="J161" s="8">
        <f>IF(H161&lt;=0.000001,0,MIN($H$3,H161+I161))</f>
        <v/>
      </c>
      <c r="K161" s="8">
        <f>ROUND(K160-M160+L160,8)</f>
        <v/>
      </c>
      <c r="L161" s="8">
        <f>IF(K161&lt;=0.000001,0,K161*$B$2/12)</f>
        <v/>
      </c>
      <c r="M161" s="8">
        <f>IF(K161&lt;=0.000001,0,MIN($K$3,K161+L161))</f>
        <v/>
      </c>
    </row>
    <row r="162">
      <c r="A162" s="4" t="n">
        <v>154</v>
      </c>
      <c r="B162" s="8">
        <f>ROUND(B161-D161+C161,8)</f>
        <v/>
      </c>
      <c r="C162" s="8">
        <f>IF(B162&lt;=0.000001,0,B162*$B$2/12)</f>
        <v/>
      </c>
      <c r="D162" s="8">
        <f>IF(B162&lt;=0.000001,0,MIN($B$3,B162+C162))</f>
        <v/>
      </c>
      <c r="E162" s="8">
        <f>ROUND(E161-G161+F161,8)</f>
        <v/>
      </c>
      <c r="F162" s="8">
        <f>IF(E162&lt;=0.000001,0,E162*$B$2/12)</f>
        <v/>
      </c>
      <c r="G162" s="8">
        <f>IF(E162&lt;=0.000001,0,MIN($E$3,E162+F162))</f>
        <v/>
      </c>
      <c r="H162" s="8">
        <f>ROUND(H161-J161+I161,8)</f>
        <v/>
      </c>
      <c r="I162" s="8">
        <f>IF(H162&lt;=0.000001,0,H162*$B$2/12)</f>
        <v/>
      </c>
      <c r="J162" s="8">
        <f>IF(H162&lt;=0.000001,0,MIN($H$3,H162+I162))</f>
        <v/>
      </c>
      <c r="K162" s="8">
        <f>ROUND(K161-M161+L161,8)</f>
        <v/>
      </c>
      <c r="L162" s="8">
        <f>IF(K162&lt;=0.000001,0,K162*$B$2/12)</f>
        <v/>
      </c>
      <c r="M162" s="8">
        <f>IF(K162&lt;=0.000001,0,MIN($K$3,K162+L162))</f>
        <v/>
      </c>
    </row>
    <row r="163">
      <c r="A163" s="4" t="n">
        <v>155</v>
      </c>
      <c r="B163" s="8">
        <f>ROUND(B162-D162+C162,8)</f>
        <v/>
      </c>
      <c r="C163" s="8">
        <f>IF(B163&lt;=0.000001,0,B163*$B$2/12)</f>
        <v/>
      </c>
      <c r="D163" s="8">
        <f>IF(B163&lt;=0.000001,0,MIN($B$3,B163+C163))</f>
        <v/>
      </c>
      <c r="E163" s="8">
        <f>ROUND(E162-G162+F162,8)</f>
        <v/>
      </c>
      <c r="F163" s="8">
        <f>IF(E163&lt;=0.000001,0,E163*$B$2/12)</f>
        <v/>
      </c>
      <c r="G163" s="8">
        <f>IF(E163&lt;=0.000001,0,MIN($E$3,E163+F163))</f>
        <v/>
      </c>
      <c r="H163" s="8">
        <f>ROUND(H162-J162+I162,8)</f>
        <v/>
      </c>
      <c r="I163" s="8">
        <f>IF(H163&lt;=0.000001,0,H163*$B$2/12)</f>
        <v/>
      </c>
      <c r="J163" s="8">
        <f>IF(H163&lt;=0.000001,0,MIN($H$3,H163+I163))</f>
        <v/>
      </c>
      <c r="K163" s="8">
        <f>ROUND(K162-M162+L162,8)</f>
        <v/>
      </c>
      <c r="L163" s="8">
        <f>IF(K163&lt;=0.000001,0,K163*$B$2/12)</f>
        <v/>
      </c>
      <c r="M163" s="8">
        <f>IF(K163&lt;=0.000001,0,MIN($K$3,K163+L163))</f>
        <v/>
      </c>
    </row>
    <row r="164">
      <c r="A164" s="4" t="n">
        <v>156</v>
      </c>
      <c r="B164" s="8">
        <f>ROUND(B163-D163+C163,8)</f>
        <v/>
      </c>
      <c r="C164" s="8">
        <f>IF(B164&lt;=0.000001,0,B164*$B$2/12)</f>
        <v/>
      </c>
      <c r="D164" s="8">
        <f>IF(B164&lt;=0.000001,0,MIN($B$3,B164+C164))</f>
        <v/>
      </c>
      <c r="E164" s="8">
        <f>ROUND(E163-G163+F163,8)</f>
        <v/>
      </c>
      <c r="F164" s="8">
        <f>IF(E164&lt;=0.000001,0,E164*$B$2/12)</f>
        <v/>
      </c>
      <c r="G164" s="8">
        <f>IF(E164&lt;=0.000001,0,MIN($E$3,E164+F164))</f>
        <v/>
      </c>
      <c r="H164" s="8">
        <f>ROUND(H163-J163+I163,8)</f>
        <v/>
      </c>
      <c r="I164" s="8">
        <f>IF(H164&lt;=0.000001,0,H164*$B$2/12)</f>
        <v/>
      </c>
      <c r="J164" s="8">
        <f>IF(H164&lt;=0.000001,0,MIN($H$3,H164+I164))</f>
        <v/>
      </c>
      <c r="K164" s="8">
        <f>ROUND(K163-M163+L163,8)</f>
        <v/>
      </c>
      <c r="L164" s="8">
        <f>IF(K164&lt;=0.000001,0,K164*$B$2/12)</f>
        <v/>
      </c>
      <c r="M164" s="8">
        <f>IF(K164&lt;=0.000001,0,MIN($K$3,K164+L164))</f>
        <v/>
      </c>
    </row>
    <row r="165">
      <c r="A165" s="4" t="n">
        <v>157</v>
      </c>
      <c r="B165" s="8">
        <f>ROUND(B164-D164+C164,8)</f>
        <v/>
      </c>
      <c r="C165" s="8">
        <f>IF(B165&lt;=0.000001,0,B165*$B$2/12)</f>
        <v/>
      </c>
      <c r="D165" s="8">
        <f>IF(B165&lt;=0.000001,0,MIN($B$3,B165+C165))</f>
        <v/>
      </c>
      <c r="E165" s="8">
        <f>ROUND(E164-G164+F164,8)</f>
        <v/>
      </c>
      <c r="F165" s="8">
        <f>IF(E165&lt;=0.000001,0,E165*$B$2/12)</f>
        <v/>
      </c>
      <c r="G165" s="8">
        <f>IF(E165&lt;=0.000001,0,MIN($E$3,E165+F165))</f>
        <v/>
      </c>
      <c r="H165" s="8">
        <f>ROUND(H164-J164+I164,8)</f>
        <v/>
      </c>
      <c r="I165" s="8">
        <f>IF(H165&lt;=0.000001,0,H165*$B$2/12)</f>
        <v/>
      </c>
      <c r="J165" s="8">
        <f>IF(H165&lt;=0.000001,0,MIN($H$3,H165+I165))</f>
        <v/>
      </c>
      <c r="K165" s="8">
        <f>ROUND(K164-M164+L164,8)</f>
        <v/>
      </c>
      <c r="L165" s="8">
        <f>IF(K165&lt;=0.000001,0,K165*$B$2/12)</f>
        <v/>
      </c>
      <c r="M165" s="8">
        <f>IF(K165&lt;=0.000001,0,MIN($K$3,K165+L165))</f>
        <v/>
      </c>
    </row>
    <row r="166">
      <c r="A166" s="4" t="n">
        <v>158</v>
      </c>
      <c r="B166" s="8">
        <f>ROUND(B165-D165+C165,8)</f>
        <v/>
      </c>
      <c r="C166" s="8">
        <f>IF(B166&lt;=0.000001,0,B166*$B$2/12)</f>
        <v/>
      </c>
      <c r="D166" s="8">
        <f>IF(B166&lt;=0.000001,0,MIN($B$3,B166+C166))</f>
        <v/>
      </c>
      <c r="E166" s="8">
        <f>ROUND(E165-G165+F165,8)</f>
        <v/>
      </c>
      <c r="F166" s="8">
        <f>IF(E166&lt;=0.000001,0,E166*$B$2/12)</f>
        <v/>
      </c>
      <c r="G166" s="8">
        <f>IF(E166&lt;=0.000001,0,MIN($E$3,E166+F166))</f>
        <v/>
      </c>
      <c r="H166" s="8">
        <f>ROUND(H165-J165+I165,8)</f>
        <v/>
      </c>
      <c r="I166" s="8">
        <f>IF(H166&lt;=0.000001,0,H166*$B$2/12)</f>
        <v/>
      </c>
      <c r="J166" s="8">
        <f>IF(H166&lt;=0.000001,0,MIN($H$3,H166+I166))</f>
        <v/>
      </c>
      <c r="K166" s="8">
        <f>ROUND(K165-M165+L165,8)</f>
        <v/>
      </c>
      <c r="L166" s="8">
        <f>IF(K166&lt;=0.000001,0,K166*$B$2/12)</f>
        <v/>
      </c>
      <c r="M166" s="8">
        <f>IF(K166&lt;=0.000001,0,MIN($K$3,K166+L166))</f>
        <v/>
      </c>
    </row>
    <row r="167">
      <c r="A167" s="4" t="n">
        <v>159</v>
      </c>
      <c r="B167" s="8">
        <f>ROUND(B166-D166+C166,8)</f>
        <v/>
      </c>
      <c r="C167" s="8">
        <f>IF(B167&lt;=0.000001,0,B167*$B$2/12)</f>
        <v/>
      </c>
      <c r="D167" s="8">
        <f>IF(B167&lt;=0.000001,0,MIN($B$3,B167+C167))</f>
        <v/>
      </c>
      <c r="E167" s="8">
        <f>ROUND(E166-G166+F166,8)</f>
        <v/>
      </c>
      <c r="F167" s="8">
        <f>IF(E167&lt;=0.000001,0,E167*$B$2/12)</f>
        <v/>
      </c>
      <c r="G167" s="8">
        <f>IF(E167&lt;=0.000001,0,MIN($E$3,E167+F167))</f>
        <v/>
      </c>
      <c r="H167" s="8">
        <f>ROUND(H166-J166+I166,8)</f>
        <v/>
      </c>
      <c r="I167" s="8">
        <f>IF(H167&lt;=0.000001,0,H167*$B$2/12)</f>
        <v/>
      </c>
      <c r="J167" s="8">
        <f>IF(H167&lt;=0.000001,0,MIN($H$3,H167+I167))</f>
        <v/>
      </c>
      <c r="K167" s="8">
        <f>ROUND(K166-M166+L166,8)</f>
        <v/>
      </c>
      <c r="L167" s="8">
        <f>IF(K167&lt;=0.000001,0,K167*$B$2/12)</f>
        <v/>
      </c>
      <c r="M167" s="8">
        <f>IF(K167&lt;=0.000001,0,MIN($K$3,K167+L167))</f>
        <v/>
      </c>
    </row>
    <row r="168">
      <c r="A168" s="4" t="n">
        <v>160</v>
      </c>
      <c r="B168" s="8">
        <f>ROUND(B167-D167+C167,8)</f>
        <v/>
      </c>
      <c r="C168" s="8">
        <f>IF(B168&lt;=0.000001,0,B168*$B$2/12)</f>
        <v/>
      </c>
      <c r="D168" s="8">
        <f>IF(B168&lt;=0.000001,0,MIN($B$3,B168+C168))</f>
        <v/>
      </c>
      <c r="E168" s="8">
        <f>ROUND(E167-G167+F167,8)</f>
        <v/>
      </c>
      <c r="F168" s="8">
        <f>IF(E168&lt;=0.000001,0,E168*$B$2/12)</f>
        <v/>
      </c>
      <c r="G168" s="8">
        <f>IF(E168&lt;=0.000001,0,MIN($E$3,E168+F168))</f>
        <v/>
      </c>
      <c r="H168" s="8">
        <f>ROUND(H167-J167+I167,8)</f>
        <v/>
      </c>
      <c r="I168" s="8">
        <f>IF(H168&lt;=0.000001,0,H168*$B$2/12)</f>
        <v/>
      </c>
      <c r="J168" s="8">
        <f>IF(H168&lt;=0.000001,0,MIN($H$3,H168+I168))</f>
        <v/>
      </c>
      <c r="K168" s="8">
        <f>ROUND(K167-M167+L167,8)</f>
        <v/>
      </c>
      <c r="L168" s="8">
        <f>IF(K168&lt;=0.000001,0,K168*$B$2/12)</f>
        <v/>
      </c>
      <c r="M168" s="8">
        <f>IF(K168&lt;=0.000001,0,MIN($K$3,K168+L168))</f>
        <v/>
      </c>
    </row>
    <row r="169">
      <c r="A169" s="4" t="n">
        <v>161</v>
      </c>
      <c r="B169" s="8">
        <f>ROUND(B168-D168+C168,8)</f>
        <v/>
      </c>
      <c r="C169" s="8">
        <f>IF(B169&lt;=0.000001,0,B169*$B$2/12)</f>
        <v/>
      </c>
      <c r="D169" s="8">
        <f>IF(B169&lt;=0.000001,0,MIN($B$3,B169+C169))</f>
        <v/>
      </c>
      <c r="E169" s="8">
        <f>ROUND(E168-G168+F168,8)</f>
        <v/>
      </c>
      <c r="F169" s="8">
        <f>IF(E169&lt;=0.000001,0,E169*$B$2/12)</f>
        <v/>
      </c>
      <c r="G169" s="8">
        <f>IF(E169&lt;=0.000001,0,MIN($E$3,E169+F169))</f>
        <v/>
      </c>
      <c r="H169" s="8">
        <f>ROUND(H168-J168+I168,8)</f>
        <v/>
      </c>
      <c r="I169" s="8">
        <f>IF(H169&lt;=0.000001,0,H169*$B$2/12)</f>
        <v/>
      </c>
      <c r="J169" s="8">
        <f>IF(H169&lt;=0.000001,0,MIN($H$3,H169+I169))</f>
        <v/>
      </c>
      <c r="K169" s="8">
        <f>ROUND(K168-M168+L168,8)</f>
        <v/>
      </c>
      <c r="L169" s="8">
        <f>IF(K169&lt;=0.000001,0,K169*$B$2/12)</f>
        <v/>
      </c>
      <c r="M169" s="8">
        <f>IF(K169&lt;=0.000001,0,MIN($K$3,K169+L169))</f>
        <v/>
      </c>
    </row>
    <row r="170">
      <c r="A170" s="4" t="n">
        <v>162</v>
      </c>
      <c r="B170" s="8">
        <f>ROUND(B169-D169+C169,8)</f>
        <v/>
      </c>
      <c r="C170" s="8">
        <f>IF(B170&lt;=0.000001,0,B170*$B$2/12)</f>
        <v/>
      </c>
      <c r="D170" s="8">
        <f>IF(B170&lt;=0.000001,0,MIN($B$3,B170+C170))</f>
        <v/>
      </c>
      <c r="E170" s="8">
        <f>ROUND(E169-G169+F169,8)</f>
        <v/>
      </c>
      <c r="F170" s="8">
        <f>IF(E170&lt;=0.000001,0,E170*$B$2/12)</f>
        <v/>
      </c>
      <c r="G170" s="8">
        <f>IF(E170&lt;=0.000001,0,MIN($E$3,E170+F170))</f>
        <v/>
      </c>
      <c r="H170" s="8">
        <f>ROUND(H169-J169+I169,8)</f>
        <v/>
      </c>
      <c r="I170" s="8">
        <f>IF(H170&lt;=0.000001,0,H170*$B$2/12)</f>
        <v/>
      </c>
      <c r="J170" s="8">
        <f>IF(H170&lt;=0.000001,0,MIN($H$3,H170+I170))</f>
        <v/>
      </c>
      <c r="K170" s="8">
        <f>ROUND(K169-M169+L169,8)</f>
        <v/>
      </c>
      <c r="L170" s="8">
        <f>IF(K170&lt;=0.000001,0,K170*$B$2/12)</f>
        <v/>
      </c>
      <c r="M170" s="8">
        <f>IF(K170&lt;=0.000001,0,MIN($K$3,K170+L170))</f>
        <v/>
      </c>
    </row>
    <row r="171">
      <c r="A171" s="4" t="n">
        <v>163</v>
      </c>
      <c r="B171" s="8">
        <f>ROUND(B170-D170+C170,8)</f>
        <v/>
      </c>
      <c r="C171" s="8">
        <f>IF(B171&lt;=0.000001,0,B171*$B$2/12)</f>
        <v/>
      </c>
      <c r="D171" s="8">
        <f>IF(B171&lt;=0.000001,0,MIN($B$3,B171+C171))</f>
        <v/>
      </c>
      <c r="E171" s="8">
        <f>ROUND(E170-G170+F170,8)</f>
        <v/>
      </c>
      <c r="F171" s="8">
        <f>IF(E171&lt;=0.000001,0,E171*$B$2/12)</f>
        <v/>
      </c>
      <c r="G171" s="8">
        <f>IF(E171&lt;=0.000001,0,MIN($E$3,E171+F171))</f>
        <v/>
      </c>
      <c r="H171" s="8">
        <f>ROUND(H170-J170+I170,8)</f>
        <v/>
      </c>
      <c r="I171" s="8">
        <f>IF(H171&lt;=0.000001,0,H171*$B$2/12)</f>
        <v/>
      </c>
      <c r="J171" s="8">
        <f>IF(H171&lt;=0.000001,0,MIN($H$3,H171+I171))</f>
        <v/>
      </c>
      <c r="K171" s="8">
        <f>ROUND(K170-M170+L170,8)</f>
        <v/>
      </c>
      <c r="L171" s="8">
        <f>IF(K171&lt;=0.000001,0,K171*$B$2/12)</f>
        <v/>
      </c>
      <c r="M171" s="8">
        <f>IF(K171&lt;=0.000001,0,MIN($K$3,K171+L171))</f>
        <v/>
      </c>
    </row>
    <row r="172">
      <c r="A172" s="4" t="n">
        <v>164</v>
      </c>
      <c r="B172" s="8">
        <f>ROUND(B171-D171+C171,8)</f>
        <v/>
      </c>
      <c r="C172" s="8">
        <f>IF(B172&lt;=0.000001,0,B172*$B$2/12)</f>
        <v/>
      </c>
      <c r="D172" s="8">
        <f>IF(B172&lt;=0.000001,0,MIN($B$3,B172+C172))</f>
        <v/>
      </c>
      <c r="E172" s="8">
        <f>ROUND(E171-G171+F171,8)</f>
        <v/>
      </c>
      <c r="F172" s="8">
        <f>IF(E172&lt;=0.000001,0,E172*$B$2/12)</f>
        <v/>
      </c>
      <c r="G172" s="8">
        <f>IF(E172&lt;=0.000001,0,MIN($E$3,E172+F172))</f>
        <v/>
      </c>
      <c r="H172" s="8">
        <f>ROUND(H171-J171+I171,8)</f>
        <v/>
      </c>
      <c r="I172" s="8">
        <f>IF(H172&lt;=0.000001,0,H172*$B$2/12)</f>
        <v/>
      </c>
      <c r="J172" s="8">
        <f>IF(H172&lt;=0.000001,0,MIN($H$3,H172+I172))</f>
        <v/>
      </c>
      <c r="K172" s="8">
        <f>ROUND(K171-M171+L171,8)</f>
        <v/>
      </c>
      <c r="L172" s="8">
        <f>IF(K172&lt;=0.000001,0,K172*$B$2/12)</f>
        <v/>
      </c>
      <c r="M172" s="8">
        <f>IF(K172&lt;=0.000001,0,MIN($K$3,K172+L172))</f>
        <v/>
      </c>
    </row>
    <row r="173">
      <c r="A173" s="4" t="n">
        <v>165</v>
      </c>
      <c r="B173" s="8">
        <f>ROUND(B172-D172+C172,8)</f>
        <v/>
      </c>
      <c r="C173" s="8">
        <f>IF(B173&lt;=0.000001,0,B173*$B$2/12)</f>
        <v/>
      </c>
      <c r="D173" s="8">
        <f>IF(B173&lt;=0.000001,0,MIN($B$3,B173+C173))</f>
        <v/>
      </c>
      <c r="E173" s="8">
        <f>ROUND(E172-G172+F172,8)</f>
        <v/>
      </c>
      <c r="F173" s="8">
        <f>IF(E173&lt;=0.000001,0,E173*$B$2/12)</f>
        <v/>
      </c>
      <c r="G173" s="8">
        <f>IF(E173&lt;=0.000001,0,MIN($E$3,E173+F173))</f>
        <v/>
      </c>
      <c r="H173" s="8">
        <f>ROUND(H172-J172+I172,8)</f>
        <v/>
      </c>
      <c r="I173" s="8">
        <f>IF(H173&lt;=0.000001,0,H173*$B$2/12)</f>
        <v/>
      </c>
      <c r="J173" s="8">
        <f>IF(H173&lt;=0.000001,0,MIN($H$3,H173+I173))</f>
        <v/>
      </c>
      <c r="K173" s="8">
        <f>ROUND(K172-M172+L172,8)</f>
        <v/>
      </c>
      <c r="L173" s="8">
        <f>IF(K173&lt;=0.000001,0,K173*$B$2/12)</f>
        <v/>
      </c>
      <c r="M173" s="8">
        <f>IF(K173&lt;=0.000001,0,MIN($K$3,K173+L173))</f>
        <v/>
      </c>
    </row>
    <row r="174">
      <c r="A174" s="4" t="n">
        <v>166</v>
      </c>
      <c r="B174" s="8">
        <f>ROUND(B173-D173+C173,8)</f>
        <v/>
      </c>
      <c r="C174" s="8">
        <f>IF(B174&lt;=0.000001,0,B174*$B$2/12)</f>
        <v/>
      </c>
      <c r="D174" s="8">
        <f>IF(B174&lt;=0.000001,0,MIN($B$3,B174+C174))</f>
        <v/>
      </c>
      <c r="E174" s="8">
        <f>ROUND(E173-G173+F173,8)</f>
        <v/>
      </c>
      <c r="F174" s="8">
        <f>IF(E174&lt;=0.000001,0,E174*$B$2/12)</f>
        <v/>
      </c>
      <c r="G174" s="8">
        <f>IF(E174&lt;=0.000001,0,MIN($E$3,E174+F174))</f>
        <v/>
      </c>
      <c r="H174" s="8">
        <f>ROUND(H173-J173+I173,8)</f>
        <v/>
      </c>
      <c r="I174" s="8">
        <f>IF(H174&lt;=0.000001,0,H174*$B$2/12)</f>
        <v/>
      </c>
      <c r="J174" s="8">
        <f>IF(H174&lt;=0.000001,0,MIN($H$3,H174+I174))</f>
        <v/>
      </c>
      <c r="K174" s="8">
        <f>ROUND(K173-M173+L173,8)</f>
        <v/>
      </c>
      <c r="L174" s="8">
        <f>IF(K174&lt;=0.000001,0,K174*$B$2/12)</f>
        <v/>
      </c>
      <c r="M174" s="8">
        <f>IF(K174&lt;=0.000001,0,MIN($K$3,K174+L174))</f>
        <v/>
      </c>
    </row>
    <row r="175">
      <c r="A175" s="4" t="n">
        <v>167</v>
      </c>
      <c r="B175" s="8">
        <f>ROUND(B174-D174+C174,8)</f>
        <v/>
      </c>
      <c r="C175" s="8">
        <f>IF(B175&lt;=0.000001,0,B175*$B$2/12)</f>
        <v/>
      </c>
      <c r="D175" s="8">
        <f>IF(B175&lt;=0.000001,0,MIN($B$3,B175+C175))</f>
        <v/>
      </c>
      <c r="E175" s="8">
        <f>ROUND(E174-G174+F174,8)</f>
        <v/>
      </c>
      <c r="F175" s="8">
        <f>IF(E175&lt;=0.000001,0,E175*$B$2/12)</f>
        <v/>
      </c>
      <c r="G175" s="8">
        <f>IF(E175&lt;=0.000001,0,MIN($E$3,E175+F175))</f>
        <v/>
      </c>
      <c r="H175" s="8">
        <f>ROUND(H174-J174+I174,8)</f>
        <v/>
      </c>
      <c r="I175" s="8">
        <f>IF(H175&lt;=0.000001,0,H175*$B$2/12)</f>
        <v/>
      </c>
      <c r="J175" s="8">
        <f>IF(H175&lt;=0.000001,0,MIN($H$3,H175+I175))</f>
        <v/>
      </c>
      <c r="K175" s="8">
        <f>ROUND(K174-M174+L174,8)</f>
        <v/>
      </c>
      <c r="L175" s="8">
        <f>IF(K175&lt;=0.000001,0,K175*$B$2/12)</f>
        <v/>
      </c>
      <c r="M175" s="8">
        <f>IF(K175&lt;=0.000001,0,MIN($K$3,K175+L175))</f>
        <v/>
      </c>
    </row>
    <row r="176">
      <c r="A176" s="4" t="n">
        <v>168</v>
      </c>
      <c r="B176" s="8">
        <f>ROUND(B175-D175+C175,8)</f>
        <v/>
      </c>
      <c r="C176" s="8">
        <f>IF(B176&lt;=0.000001,0,B176*$B$2/12)</f>
        <v/>
      </c>
      <c r="D176" s="8">
        <f>IF(B176&lt;=0.000001,0,MIN($B$3,B176+C176))</f>
        <v/>
      </c>
      <c r="E176" s="8">
        <f>ROUND(E175-G175+F175,8)</f>
        <v/>
      </c>
      <c r="F176" s="8">
        <f>IF(E176&lt;=0.000001,0,E176*$B$2/12)</f>
        <v/>
      </c>
      <c r="G176" s="8">
        <f>IF(E176&lt;=0.000001,0,MIN($E$3,E176+F176))</f>
        <v/>
      </c>
      <c r="H176" s="8">
        <f>ROUND(H175-J175+I175,8)</f>
        <v/>
      </c>
      <c r="I176" s="8">
        <f>IF(H176&lt;=0.000001,0,H176*$B$2/12)</f>
        <v/>
      </c>
      <c r="J176" s="8">
        <f>IF(H176&lt;=0.000001,0,MIN($H$3,H176+I176))</f>
        <v/>
      </c>
      <c r="K176" s="8">
        <f>ROUND(K175-M175+L175,8)</f>
        <v/>
      </c>
      <c r="L176" s="8">
        <f>IF(K176&lt;=0.000001,0,K176*$B$2/12)</f>
        <v/>
      </c>
      <c r="M176" s="8">
        <f>IF(K176&lt;=0.000001,0,MIN($K$3,K176+L176))</f>
        <v/>
      </c>
    </row>
    <row r="177">
      <c r="A177" s="4" t="n">
        <v>169</v>
      </c>
      <c r="B177" s="8">
        <f>ROUND(B176-D176+C176,8)</f>
        <v/>
      </c>
      <c r="C177" s="8">
        <f>IF(B177&lt;=0.000001,0,B177*$B$2/12)</f>
        <v/>
      </c>
      <c r="D177" s="8">
        <f>IF(B177&lt;=0.000001,0,MIN($B$3,B177+C177))</f>
        <v/>
      </c>
      <c r="E177" s="8">
        <f>ROUND(E176-G176+F176,8)</f>
        <v/>
      </c>
      <c r="F177" s="8">
        <f>IF(E177&lt;=0.000001,0,E177*$B$2/12)</f>
        <v/>
      </c>
      <c r="G177" s="8">
        <f>IF(E177&lt;=0.000001,0,MIN($E$3,E177+F177))</f>
        <v/>
      </c>
      <c r="H177" s="8">
        <f>ROUND(H176-J176+I176,8)</f>
        <v/>
      </c>
      <c r="I177" s="8">
        <f>IF(H177&lt;=0.000001,0,H177*$B$2/12)</f>
        <v/>
      </c>
      <c r="J177" s="8">
        <f>IF(H177&lt;=0.000001,0,MIN($H$3,H177+I177))</f>
        <v/>
      </c>
      <c r="K177" s="8">
        <f>ROUND(K176-M176+L176,8)</f>
        <v/>
      </c>
      <c r="L177" s="8">
        <f>IF(K177&lt;=0.000001,0,K177*$B$2/12)</f>
        <v/>
      </c>
      <c r="M177" s="8">
        <f>IF(K177&lt;=0.000001,0,MIN($K$3,K177+L177))</f>
        <v/>
      </c>
    </row>
    <row r="178">
      <c r="A178" s="4" t="n">
        <v>170</v>
      </c>
      <c r="B178" s="8">
        <f>ROUND(B177-D177+C177,8)</f>
        <v/>
      </c>
      <c r="C178" s="8">
        <f>IF(B178&lt;=0.000001,0,B178*$B$2/12)</f>
        <v/>
      </c>
      <c r="D178" s="8">
        <f>IF(B178&lt;=0.000001,0,MIN($B$3,B178+C178))</f>
        <v/>
      </c>
      <c r="E178" s="8">
        <f>ROUND(E177-G177+F177,8)</f>
        <v/>
      </c>
      <c r="F178" s="8">
        <f>IF(E178&lt;=0.000001,0,E178*$B$2/12)</f>
        <v/>
      </c>
      <c r="G178" s="8">
        <f>IF(E178&lt;=0.000001,0,MIN($E$3,E178+F178))</f>
        <v/>
      </c>
      <c r="H178" s="8">
        <f>ROUND(H177-J177+I177,8)</f>
        <v/>
      </c>
      <c r="I178" s="8">
        <f>IF(H178&lt;=0.000001,0,H178*$B$2/12)</f>
        <v/>
      </c>
      <c r="J178" s="8">
        <f>IF(H178&lt;=0.000001,0,MIN($H$3,H178+I178))</f>
        <v/>
      </c>
      <c r="K178" s="8">
        <f>ROUND(K177-M177+L177,8)</f>
        <v/>
      </c>
      <c r="L178" s="8">
        <f>IF(K178&lt;=0.000001,0,K178*$B$2/12)</f>
        <v/>
      </c>
      <c r="M178" s="8">
        <f>IF(K178&lt;=0.000001,0,MIN($K$3,K178+L178))</f>
        <v/>
      </c>
    </row>
    <row r="179">
      <c r="A179" s="4" t="n">
        <v>171</v>
      </c>
      <c r="B179" s="8">
        <f>ROUND(B178-D178+C178,8)</f>
        <v/>
      </c>
      <c r="C179" s="8">
        <f>IF(B179&lt;=0.000001,0,B179*$B$2/12)</f>
        <v/>
      </c>
      <c r="D179" s="8">
        <f>IF(B179&lt;=0.000001,0,MIN($B$3,B179+C179))</f>
        <v/>
      </c>
      <c r="E179" s="8">
        <f>ROUND(E178-G178+F178,8)</f>
        <v/>
      </c>
      <c r="F179" s="8">
        <f>IF(E179&lt;=0.000001,0,E179*$B$2/12)</f>
        <v/>
      </c>
      <c r="G179" s="8">
        <f>IF(E179&lt;=0.000001,0,MIN($E$3,E179+F179))</f>
        <v/>
      </c>
      <c r="H179" s="8">
        <f>ROUND(H178-J178+I178,8)</f>
        <v/>
      </c>
      <c r="I179" s="8">
        <f>IF(H179&lt;=0.000001,0,H179*$B$2/12)</f>
        <v/>
      </c>
      <c r="J179" s="8">
        <f>IF(H179&lt;=0.000001,0,MIN($H$3,H179+I179))</f>
        <v/>
      </c>
      <c r="K179" s="8">
        <f>ROUND(K178-M178+L178,8)</f>
        <v/>
      </c>
      <c r="L179" s="8">
        <f>IF(K179&lt;=0.000001,0,K179*$B$2/12)</f>
        <v/>
      </c>
      <c r="M179" s="8">
        <f>IF(K179&lt;=0.000001,0,MIN($K$3,K179+L179))</f>
        <v/>
      </c>
    </row>
    <row r="180">
      <c r="A180" s="4" t="n">
        <v>172</v>
      </c>
      <c r="B180" s="8">
        <f>ROUND(B179-D179+C179,8)</f>
        <v/>
      </c>
      <c r="C180" s="8">
        <f>IF(B180&lt;=0.000001,0,B180*$B$2/12)</f>
        <v/>
      </c>
      <c r="D180" s="8">
        <f>IF(B180&lt;=0.000001,0,MIN($B$3,B180+C180))</f>
        <v/>
      </c>
      <c r="E180" s="8">
        <f>ROUND(E179-G179+F179,8)</f>
        <v/>
      </c>
      <c r="F180" s="8">
        <f>IF(E180&lt;=0.000001,0,E180*$B$2/12)</f>
        <v/>
      </c>
      <c r="G180" s="8">
        <f>IF(E180&lt;=0.000001,0,MIN($E$3,E180+F180))</f>
        <v/>
      </c>
      <c r="H180" s="8">
        <f>ROUND(H179-J179+I179,8)</f>
        <v/>
      </c>
      <c r="I180" s="8">
        <f>IF(H180&lt;=0.000001,0,H180*$B$2/12)</f>
        <v/>
      </c>
      <c r="J180" s="8">
        <f>IF(H180&lt;=0.000001,0,MIN($H$3,H180+I180))</f>
        <v/>
      </c>
      <c r="K180" s="8">
        <f>ROUND(K179-M179+L179,8)</f>
        <v/>
      </c>
      <c r="L180" s="8">
        <f>IF(K180&lt;=0.000001,0,K180*$B$2/12)</f>
        <v/>
      </c>
      <c r="M180" s="8">
        <f>IF(K180&lt;=0.000001,0,MIN($K$3,K180+L180))</f>
        <v/>
      </c>
    </row>
    <row r="181">
      <c r="A181" s="4" t="n">
        <v>173</v>
      </c>
      <c r="B181" s="8">
        <f>ROUND(B180-D180+C180,8)</f>
        <v/>
      </c>
      <c r="C181" s="8">
        <f>IF(B181&lt;=0.000001,0,B181*$B$2/12)</f>
        <v/>
      </c>
      <c r="D181" s="8">
        <f>IF(B181&lt;=0.000001,0,MIN($B$3,B181+C181))</f>
        <v/>
      </c>
      <c r="E181" s="8">
        <f>ROUND(E180-G180+F180,8)</f>
        <v/>
      </c>
      <c r="F181" s="8">
        <f>IF(E181&lt;=0.000001,0,E181*$B$2/12)</f>
        <v/>
      </c>
      <c r="G181" s="8">
        <f>IF(E181&lt;=0.000001,0,MIN($E$3,E181+F181))</f>
        <v/>
      </c>
      <c r="H181" s="8">
        <f>ROUND(H180-J180+I180,8)</f>
        <v/>
      </c>
      <c r="I181" s="8">
        <f>IF(H181&lt;=0.000001,0,H181*$B$2/12)</f>
        <v/>
      </c>
      <c r="J181" s="8">
        <f>IF(H181&lt;=0.000001,0,MIN($H$3,H181+I181))</f>
        <v/>
      </c>
      <c r="K181" s="8">
        <f>ROUND(K180-M180+L180,8)</f>
        <v/>
      </c>
      <c r="L181" s="8">
        <f>IF(K181&lt;=0.000001,0,K181*$B$2/12)</f>
        <v/>
      </c>
      <c r="M181" s="8">
        <f>IF(K181&lt;=0.000001,0,MIN($K$3,K181+L181))</f>
        <v/>
      </c>
    </row>
    <row r="182">
      <c r="A182" s="4" t="n">
        <v>174</v>
      </c>
      <c r="B182" s="8">
        <f>ROUND(B181-D181+C181,8)</f>
        <v/>
      </c>
      <c r="C182" s="8">
        <f>IF(B182&lt;=0.000001,0,B182*$B$2/12)</f>
        <v/>
      </c>
      <c r="D182" s="8">
        <f>IF(B182&lt;=0.000001,0,MIN($B$3,B182+C182))</f>
        <v/>
      </c>
      <c r="E182" s="8">
        <f>ROUND(E181-G181+F181,8)</f>
        <v/>
      </c>
      <c r="F182" s="8">
        <f>IF(E182&lt;=0.000001,0,E182*$B$2/12)</f>
        <v/>
      </c>
      <c r="G182" s="8">
        <f>IF(E182&lt;=0.000001,0,MIN($E$3,E182+F182))</f>
        <v/>
      </c>
      <c r="H182" s="8">
        <f>ROUND(H181-J181+I181,8)</f>
        <v/>
      </c>
      <c r="I182" s="8">
        <f>IF(H182&lt;=0.000001,0,H182*$B$2/12)</f>
        <v/>
      </c>
      <c r="J182" s="8">
        <f>IF(H182&lt;=0.000001,0,MIN($H$3,H182+I182))</f>
        <v/>
      </c>
      <c r="K182" s="8">
        <f>ROUND(K181-M181+L181,8)</f>
        <v/>
      </c>
      <c r="L182" s="8">
        <f>IF(K182&lt;=0.000001,0,K182*$B$2/12)</f>
        <v/>
      </c>
      <c r="M182" s="8">
        <f>IF(K182&lt;=0.000001,0,MIN($K$3,K182+L182))</f>
        <v/>
      </c>
    </row>
    <row r="183">
      <c r="A183" s="4" t="n">
        <v>175</v>
      </c>
      <c r="B183" s="8">
        <f>ROUND(B182-D182+C182,8)</f>
        <v/>
      </c>
      <c r="C183" s="8">
        <f>IF(B183&lt;=0.000001,0,B183*$B$2/12)</f>
        <v/>
      </c>
      <c r="D183" s="8">
        <f>IF(B183&lt;=0.000001,0,MIN($B$3,B183+C183))</f>
        <v/>
      </c>
      <c r="E183" s="8">
        <f>ROUND(E182-G182+F182,8)</f>
        <v/>
      </c>
      <c r="F183" s="8">
        <f>IF(E183&lt;=0.000001,0,E183*$B$2/12)</f>
        <v/>
      </c>
      <c r="G183" s="8">
        <f>IF(E183&lt;=0.000001,0,MIN($E$3,E183+F183))</f>
        <v/>
      </c>
      <c r="H183" s="8">
        <f>ROUND(H182-J182+I182,8)</f>
        <v/>
      </c>
      <c r="I183" s="8">
        <f>IF(H183&lt;=0.000001,0,H183*$B$2/12)</f>
        <v/>
      </c>
      <c r="J183" s="8">
        <f>IF(H183&lt;=0.000001,0,MIN($H$3,H183+I183))</f>
        <v/>
      </c>
      <c r="K183" s="8">
        <f>ROUND(K182-M182+L182,8)</f>
        <v/>
      </c>
      <c r="L183" s="8">
        <f>IF(K183&lt;=0.000001,0,K183*$B$2/12)</f>
        <v/>
      </c>
      <c r="M183" s="8">
        <f>IF(K183&lt;=0.000001,0,MIN($K$3,K183+L183))</f>
        <v/>
      </c>
    </row>
    <row r="184">
      <c r="A184" s="4" t="n">
        <v>176</v>
      </c>
      <c r="B184" s="8">
        <f>ROUND(B183-D183+C183,8)</f>
        <v/>
      </c>
      <c r="C184" s="8">
        <f>IF(B184&lt;=0.000001,0,B184*$B$2/12)</f>
        <v/>
      </c>
      <c r="D184" s="8">
        <f>IF(B184&lt;=0.000001,0,MIN($B$3,B184+C184))</f>
        <v/>
      </c>
      <c r="E184" s="8">
        <f>ROUND(E183-G183+F183,8)</f>
        <v/>
      </c>
      <c r="F184" s="8">
        <f>IF(E184&lt;=0.000001,0,E184*$B$2/12)</f>
        <v/>
      </c>
      <c r="G184" s="8">
        <f>IF(E184&lt;=0.000001,0,MIN($E$3,E184+F184))</f>
        <v/>
      </c>
      <c r="H184" s="8">
        <f>ROUND(H183-J183+I183,8)</f>
        <v/>
      </c>
      <c r="I184" s="8">
        <f>IF(H184&lt;=0.000001,0,H184*$B$2/12)</f>
        <v/>
      </c>
      <c r="J184" s="8">
        <f>IF(H184&lt;=0.000001,0,MIN($H$3,H184+I184))</f>
        <v/>
      </c>
      <c r="K184" s="8">
        <f>ROUND(K183-M183+L183,8)</f>
        <v/>
      </c>
      <c r="L184" s="8">
        <f>IF(K184&lt;=0.000001,0,K184*$B$2/12)</f>
        <v/>
      </c>
      <c r="M184" s="8">
        <f>IF(K184&lt;=0.000001,0,MIN($K$3,K184+L184))</f>
        <v/>
      </c>
    </row>
    <row r="185">
      <c r="A185" s="4" t="n">
        <v>177</v>
      </c>
      <c r="B185" s="8">
        <f>ROUND(B184-D184+C184,8)</f>
        <v/>
      </c>
      <c r="C185" s="8">
        <f>IF(B185&lt;=0.000001,0,B185*$B$2/12)</f>
        <v/>
      </c>
      <c r="D185" s="8">
        <f>IF(B185&lt;=0.000001,0,MIN($B$3,B185+C185))</f>
        <v/>
      </c>
      <c r="E185" s="8">
        <f>ROUND(E184-G184+F184,8)</f>
        <v/>
      </c>
      <c r="F185" s="8">
        <f>IF(E185&lt;=0.000001,0,E185*$B$2/12)</f>
        <v/>
      </c>
      <c r="G185" s="8">
        <f>IF(E185&lt;=0.000001,0,MIN($E$3,E185+F185))</f>
        <v/>
      </c>
      <c r="H185" s="8">
        <f>ROUND(H184-J184+I184,8)</f>
        <v/>
      </c>
      <c r="I185" s="8">
        <f>IF(H185&lt;=0.000001,0,H185*$B$2/12)</f>
        <v/>
      </c>
      <c r="J185" s="8">
        <f>IF(H185&lt;=0.000001,0,MIN($H$3,H185+I185))</f>
        <v/>
      </c>
      <c r="K185" s="8">
        <f>ROUND(K184-M184+L184,8)</f>
        <v/>
      </c>
      <c r="L185" s="8">
        <f>IF(K185&lt;=0.000001,0,K185*$B$2/12)</f>
        <v/>
      </c>
      <c r="M185" s="8">
        <f>IF(K185&lt;=0.000001,0,MIN($K$3,K185+L185))</f>
        <v/>
      </c>
    </row>
    <row r="186">
      <c r="A186" s="4" t="n">
        <v>178</v>
      </c>
      <c r="B186" s="8">
        <f>ROUND(B185-D185+C185,8)</f>
        <v/>
      </c>
      <c r="C186" s="8">
        <f>IF(B186&lt;=0.000001,0,B186*$B$2/12)</f>
        <v/>
      </c>
      <c r="D186" s="8">
        <f>IF(B186&lt;=0.000001,0,MIN($B$3,B186+C186))</f>
        <v/>
      </c>
      <c r="E186" s="8">
        <f>ROUND(E185-G185+F185,8)</f>
        <v/>
      </c>
      <c r="F186" s="8">
        <f>IF(E186&lt;=0.000001,0,E186*$B$2/12)</f>
        <v/>
      </c>
      <c r="G186" s="8">
        <f>IF(E186&lt;=0.000001,0,MIN($E$3,E186+F186))</f>
        <v/>
      </c>
      <c r="H186" s="8">
        <f>ROUND(H185-J185+I185,8)</f>
        <v/>
      </c>
      <c r="I186" s="8">
        <f>IF(H186&lt;=0.000001,0,H186*$B$2/12)</f>
        <v/>
      </c>
      <c r="J186" s="8">
        <f>IF(H186&lt;=0.000001,0,MIN($H$3,H186+I186))</f>
        <v/>
      </c>
      <c r="K186" s="8">
        <f>ROUND(K185-M185+L185,8)</f>
        <v/>
      </c>
      <c r="L186" s="8">
        <f>IF(K186&lt;=0.000001,0,K186*$B$2/12)</f>
        <v/>
      </c>
      <c r="M186" s="8">
        <f>IF(K186&lt;=0.000001,0,MIN($K$3,K186+L186))</f>
        <v/>
      </c>
    </row>
    <row r="187">
      <c r="A187" s="4" t="n">
        <v>179</v>
      </c>
      <c r="B187" s="8">
        <f>ROUND(B186-D186+C186,8)</f>
        <v/>
      </c>
      <c r="C187" s="8">
        <f>IF(B187&lt;=0.000001,0,B187*$B$2/12)</f>
        <v/>
      </c>
      <c r="D187" s="8">
        <f>IF(B187&lt;=0.000001,0,MIN($B$3,B187+C187))</f>
        <v/>
      </c>
      <c r="E187" s="8">
        <f>ROUND(E186-G186+F186,8)</f>
        <v/>
      </c>
      <c r="F187" s="8">
        <f>IF(E187&lt;=0.000001,0,E187*$B$2/12)</f>
        <v/>
      </c>
      <c r="G187" s="8">
        <f>IF(E187&lt;=0.000001,0,MIN($E$3,E187+F187))</f>
        <v/>
      </c>
      <c r="H187" s="8">
        <f>ROUND(H186-J186+I186,8)</f>
        <v/>
      </c>
      <c r="I187" s="8">
        <f>IF(H187&lt;=0.000001,0,H187*$B$2/12)</f>
        <v/>
      </c>
      <c r="J187" s="8">
        <f>IF(H187&lt;=0.000001,0,MIN($H$3,H187+I187))</f>
        <v/>
      </c>
      <c r="K187" s="8">
        <f>ROUND(K186-M186+L186,8)</f>
        <v/>
      </c>
      <c r="L187" s="8">
        <f>IF(K187&lt;=0.000001,0,K187*$B$2/12)</f>
        <v/>
      </c>
      <c r="M187" s="8">
        <f>IF(K187&lt;=0.000001,0,MIN($K$3,K187+L187))</f>
        <v/>
      </c>
    </row>
    <row r="188">
      <c r="A188" s="4" t="n">
        <v>180</v>
      </c>
      <c r="B188" s="8">
        <f>ROUND(B187-D187+C187,8)</f>
        <v/>
      </c>
      <c r="C188" s="8">
        <f>IF(B188&lt;=0.000001,0,B188*$B$2/12)</f>
        <v/>
      </c>
      <c r="D188" s="8">
        <f>IF(B188&lt;=0.000001,0,MIN($B$3,B188+C188))</f>
        <v/>
      </c>
      <c r="E188" s="8">
        <f>ROUND(E187-G187+F187,8)</f>
        <v/>
      </c>
      <c r="F188" s="8">
        <f>IF(E188&lt;=0.000001,0,E188*$B$2/12)</f>
        <v/>
      </c>
      <c r="G188" s="8">
        <f>IF(E188&lt;=0.000001,0,MIN($E$3,E188+F188))</f>
        <v/>
      </c>
      <c r="H188" s="8">
        <f>ROUND(H187-J187+I187,8)</f>
        <v/>
      </c>
      <c r="I188" s="8">
        <f>IF(H188&lt;=0.000001,0,H188*$B$2/12)</f>
        <v/>
      </c>
      <c r="J188" s="8">
        <f>IF(H188&lt;=0.000001,0,MIN($H$3,H188+I188))</f>
        <v/>
      </c>
      <c r="K188" s="8">
        <f>ROUND(K187-M187+L187,8)</f>
        <v/>
      </c>
      <c r="L188" s="8">
        <f>IF(K188&lt;=0.000001,0,K188*$B$2/12)</f>
        <v/>
      </c>
      <c r="M188" s="8">
        <f>IF(K188&lt;=0.000001,0,MIN($K$3,K188+L188))</f>
        <v/>
      </c>
    </row>
    <row r="189">
      <c r="A189" s="4" t="n">
        <v>181</v>
      </c>
      <c r="B189" s="8">
        <f>ROUND(B188-D188+C188,8)</f>
        <v/>
      </c>
      <c r="C189" s="8">
        <f>IF(B189&lt;=0.000001,0,B189*$B$2/12)</f>
        <v/>
      </c>
      <c r="D189" s="8">
        <f>IF(B189&lt;=0.000001,0,MIN($B$3,B189+C189))</f>
        <v/>
      </c>
      <c r="E189" s="8">
        <f>ROUND(E188-G188+F188,8)</f>
        <v/>
      </c>
      <c r="F189" s="8">
        <f>IF(E189&lt;=0.000001,0,E189*$B$2/12)</f>
        <v/>
      </c>
      <c r="G189" s="8">
        <f>IF(E189&lt;=0.000001,0,MIN($E$3,E189+F189))</f>
        <v/>
      </c>
      <c r="H189" s="8">
        <f>ROUND(H188-J188+I188,8)</f>
        <v/>
      </c>
      <c r="I189" s="8">
        <f>IF(H189&lt;=0.000001,0,H189*$B$2/12)</f>
        <v/>
      </c>
      <c r="J189" s="8">
        <f>IF(H189&lt;=0.000001,0,MIN($H$3,H189+I189))</f>
        <v/>
      </c>
      <c r="K189" s="8">
        <f>ROUND(K188-M188+L188,8)</f>
        <v/>
      </c>
      <c r="L189" s="8">
        <f>IF(K189&lt;=0.000001,0,K189*$B$2/12)</f>
        <v/>
      </c>
      <c r="M189" s="8">
        <f>IF(K189&lt;=0.000001,0,MIN($K$3,K189+L189))</f>
        <v/>
      </c>
    </row>
    <row r="190">
      <c r="A190" s="4" t="n">
        <v>182</v>
      </c>
      <c r="B190" s="8">
        <f>ROUND(B189-D189+C189,8)</f>
        <v/>
      </c>
      <c r="C190" s="8">
        <f>IF(B190&lt;=0.000001,0,B190*$B$2/12)</f>
        <v/>
      </c>
      <c r="D190" s="8">
        <f>IF(B190&lt;=0.000001,0,MIN($B$3,B190+C190))</f>
        <v/>
      </c>
      <c r="E190" s="8">
        <f>ROUND(E189-G189+F189,8)</f>
        <v/>
      </c>
      <c r="F190" s="8">
        <f>IF(E190&lt;=0.000001,0,E190*$B$2/12)</f>
        <v/>
      </c>
      <c r="G190" s="8">
        <f>IF(E190&lt;=0.000001,0,MIN($E$3,E190+F190))</f>
        <v/>
      </c>
      <c r="H190" s="8">
        <f>ROUND(H189-J189+I189,8)</f>
        <v/>
      </c>
      <c r="I190" s="8">
        <f>IF(H190&lt;=0.000001,0,H190*$B$2/12)</f>
        <v/>
      </c>
      <c r="J190" s="8">
        <f>IF(H190&lt;=0.000001,0,MIN($H$3,H190+I190))</f>
        <v/>
      </c>
      <c r="K190" s="8">
        <f>ROUND(K189-M189+L189,8)</f>
        <v/>
      </c>
      <c r="L190" s="8">
        <f>IF(K190&lt;=0.000001,0,K190*$B$2/12)</f>
        <v/>
      </c>
      <c r="M190" s="8">
        <f>IF(K190&lt;=0.000001,0,MIN($K$3,K190+L190))</f>
        <v/>
      </c>
    </row>
    <row r="191">
      <c r="A191" s="4" t="n">
        <v>183</v>
      </c>
      <c r="B191" s="8">
        <f>ROUND(B190-D190+C190,8)</f>
        <v/>
      </c>
      <c r="C191" s="8">
        <f>IF(B191&lt;=0.000001,0,B191*$B$2/12)</f>
        <v/>
      </c>
      <c r="D191" s="8">
        <f>IF(B191&lt;=0.000001,0,MIN($B$3,B191+C191))</f>
        <v/>
      </c>
      <c r="E191" s="8">
        <f>ROUND(E190-G190+F190,8)</f>
        <v/>
      </c>
      <c r="F191" s="8">
        <f>IF(E191&lt;=0.000001,0,E191*$B$2/12)</f>
        <v/>
      </c>
      <c r="G191" s="8">
        <f>IF(E191&lt;=0.000001,0,MIN($E$3,E191+F191))</f>
        <v/>
      </c>
      <c r="H191" s="8">
        <f>ROUND(H190-J190+I190,8)</f>
        <v/>
      </c>
      <c r="I191" s="8">
        <f>IF(H191&lt;=0.000001,0,H191*$B$2/12)</f>
        <v/>
      </c>
      <c r="J191" s="8">
        <f>IF(H191&lt;=0.000001,0,MIN($H$3,H191+I191))</f>
        <v/>
      </c>
      <c r="K191" s="8">
        <f>ROUND(K190-M190+L190,8)</f>
        <v/>
      </c>
      <c r="L191" s="8">
        <f>IF(K191&lt;=0.000001,0,K191*$B$2/12)</f>
        <v/>
      </c>
      <c r="M191" s="8">
        <f>IF(K191&lt;=0.000001,0,MIN($K$3,K191+L191))</f>
        <v/>
      </c>
    </row>
    <row r="192">
      <c r="A192" s="4" t="n">
        <v>184</v>
      </c>
      <c r="B192" s="8">
        <f>ROUND(B191-D191+C191,8)</f>
        <v/>
      </c>
      <c r="C192" s="8">
        <f>IF(B192&lt;=0.000001,0,B192*$B$2/12)</f>
        <v/>
      </c>
      <c r="D192" s="8">
        <f>IF(B192&lt;=0.000001,0,MIN($B$3,B192+C192))</f>
        <v/>
      </c>
      <c r="E192" s="8">
        <f>ROUND(E191-G191+F191,8)</f>
        <v/>
      </c>
      <c r="F192" s="8">
        <f>IF(E192&lt;=0.000001,0,E192*$B$2/12)</f>
        <v/>
      </c>
      <c r="G192" s="8">
        <f>IF(E192&lt;=0.000001,0,MIN($E$3,E192+F192))</f>
        <v/>
      </c>
      <c r="H192" s="8">
        <f>ROUND(H191-J191+I191,8)</f>
        <v/>
      </c>
      <c r="I192" s="8">
        <f>IF(H192&lt;=0.000001,0,H192*$B$2/12)</f>
        <v/>
      </c>
      <c r="J192" s="8">
        <f>IF(H192&lt;=0.000001,0,MIN($H$3,H192+I192))</f>
        <v/>
      </c>
      <c r="K192" s="8">
        <f>ROUND(K191-M191+L191,8)</f>
        <v/>
      </c>
      <c r="L192" s="8">
        <f>IF(K192&lt;=0.000001,0,K192*$B$2/12)</f>
        <v/>
      </c>
      <c r="M192" s="8">
        <f>IF(K192&lt;=0.000001,0,MIN($K$3,K192+L192))</f>
        <v/>
      </c>
    </row>
    <row r="193">
      <c r="A193" s="4" t="n">
        <v>185</v>
      </c>
      <c r="B193" s="8">
        <f>ROUND(B192-D192+C192,8)</f>
        <v/>
      </c>
      <c r="C193" s="8">
        <f>IF(B193&lt;=0.000001,0,B193*$B$2/12)</f>
        <v/>
      </c>
      <c r="D193" s="8">
        <f>IF(B193&lt;=0.000001,0,MIN($B$3,B193+C193))</f>
        <v/>
      </c>
      <c r="E193" s="8">
        <f>ROUND(E192-G192+F192,8)</f>
        <v/>
      </c>
      <c r="F193" s="8">
        <f>IF(E193&lt;=0.000001,0,E193*$B$2/12)</f>
        <v/>
      </c>
      <c r="G193" s="8">
        <f>IF(E193&lt;=0.000001,0,MIN($E$3,E193+F193))</f>
        <v/>
      </c>
      <c r="H193" s="8">
        <f>ROUND(H192-J192+I192,8)</f>
        <v/>
      </c>
      <c r="I193" s="8">
        <f>IF(H193&lt;=0.000001,0,H193*$B$2/12)</f>
        <v/>
      </c>
      <c r="J193" s="8">
        <f>IF(H193&lt;=0.000001,0,MIN($H$3,H193+I193))</f>
        <v/>
      </c>
      <c r="K193" s="8">
        <f>ROUND(K192-M192+L192,8)</f>
        <v/>
      </c>
      <c r="L193" s="8">
        <f>IF(K193&lt;=0.000001,0,K193*$B$2/12)</f>
        <v/>
      </c>
      <c r="M193" s="8">
        <f>IF(K193&lt;=0.000001,0,MIN($K$3,K193+L193))</f>
        <v/>
      </c>
    </row>
    <row r="194">
      <c r="A194" s="4" t="n">
        <v>186</v>
      </c>
      <c r="B194" s="8">
        <f>ROUND(B193-D193+C193,8)</f>
        <v/>
      </c>
      <c r="C194" s="8">
        <f>IF(B194&lt;=0.000001,0,B194*$B$2/12)</f>
        <v/>
      </c>
      <c r="D194" s="8">
        <f>IF(B194&lt;=0.000001,0,MIN($B$3,B194+C194))</f>
        <v/>
      </c>
      <c r="E194" s="8">
        <f>ROUND(E193-G193+F193,8)</f>
        <v/>
      </c>
      <c r="F194" s="8">
        <f>IF(E194&lt;=0.000001,0,E194*$B$2/12)</f>
        <v/>
      </c>
      <c r="G194" s="8">
        <f>IF(E194&lt;=0.000001,0,MIN($E$3,E194+F194))</f>
        <v/>
      </c>
      <c r="H194" s="8">
        <f>ROUND(H193-J193+I193,8)</f>
        <v/>
      </c>
      <c r="I194" s="8">
        <f>IF(H194&lt;=0.000001,0,H194*$B$2/12)</f>
        <v/>
      </c>
      <c r="J194" s="8">
        <f>IF(H194&lt;=0.000001,0,MIN($H$3,H194+I194))</f>
        <v/>
      </c>
      <c r="K194" s="8">
        <f>ROUND(K193-M193+L193,8)</f>
        <v/>
      </c>
      <c r="L194" s="8">
        <f>IF(K194&lt;=0.000001,0,K194*$B$2/12)</f>
        <v/>
      </c>
      <c r="M194" s="8">
        <f>IF(K194&lt;=0.000001,0,MIN($K$3,K194+L194))</f>
        <v/>
      </c>
    </row>
    <row r="195">
      <c r="A195" s="4" t="n">
        <v>187</v>
      </c>
      <c r="B195" s="8">
        <f>ROUND(B194-D194+C194,8)</f>
        <v/>
      </c>
      <c r="C195" s="8">
        <f>IF(B195&lt;=0.000001,0,B195*$B$2/12)</f>
        <v/>
      </c>
      <c r="D195" s="8">
        <f>IF(B195&lt;=0.000001,0,MIN($B$3,B195+C195))</f>
        <v/>
      </c>
      <c r="E195" s="8">
        <f>ROUND(E194-G194+F194,8)</f>
        <v/>
      </c>
      <c r="F195" s="8">
        <f>IF(E195&lt;=0.000001,0,E195*$B$2/12)</f>
        <v/>
      </c>
      <c r="G195" s="8">
        <f>IF(E195&lt;=0.000001,0,MIN($E$3,E195+F195))</f>
        <v/>
      </c>
      <c r="H195" s="8">
        <f>ROUND(H194-J194+I194,8)</f>
        <v/>
      </c>
      <c r="I195" s="8">
        <f>IF(H195&lt;=0.000001,0,H195*$B$2/12)</f>
        <v/>
      </c>
      <c r="J195" s="8">
        <f>IF(H195&lt;=0.000001,0,MIN($H$3,H195+I195))</f>
        <v/>
      </c>
      <c r="K195" s="8">
        <f>ROUND(K194-M194+L194,8)</f>
        <v/>
      </c>
      <c r="L195" s="8">
        <f>IF(K195&lt;=0.000001,0,K195*$B$2/12)</f>
        <v/>
      </c>
      <c r="M195" s="8">
        <f>IF(K195&lt;=0.000001,0,MIN($K$3,K195+L195))</f>
        <v/>
      </c>
    </row>
    <row r="196">
      <c r="A196" s="4" t="n">
        <v>188</v>
      </c>
      <c r="B196" s="8">
        <f>ROUND(B195-D195+C195,8)</f>
        <v/>
      </c>
      <c r="C196" s="8">
        <f>IF(B196&lt;=0.000001,0,B196*$B$2/12)</f>
        <v/>
      </c>
      <c r="D196" s="8">
        <f>IF(B196&lt;=0.000001,0,MIN($B$3,B196+C196))</f>
        <v/>
      </c>
      <c r="E196" s="8">
        <f>ROUND(E195-G195+F195,8)</f>
        <v/>
      </c>
      <c r="F196" s="8">
        <f>IF(E196&lt;=0.000001,0,E196*$B$2/12)</f>
        <v/>
      </c>
      <c r="G196" s="8">
        <f>IF(E196&lt;=0.000001,0,MIN($E$3,E196+F196))</f>
        <v/>
      </c>
      <c r="H196" s="8">
        <f>ROUND(H195-J195+I195,8)</f>
        <v/>
      </c>
      <c r="I196" s="8">
        <f>IF(H196&lt;=0.000001,0,H196*$B$2/12)</f>
        <v/>
      </c>
      <c r="J196" s="8">
        <f>IF(H196&lt;=0.000001,0,MIN($H$3,H196+I196))</f>
        <v/>
      </c>
      <c r="K196" s="8">
        <f>ROUND(K195-M195+L195,8)</f>
        <v/>
      </c>
      <c r="L196" s="8">
        <f>IF(K196&lt;=0.000001,0,K196*$B$2/12)</f>
        <v/>
      </c>
      <c r="M196" s="8">
        <f>IF(K196&lt;=0.000001,0,MIN($K$3,K196+L196))</f>
        <v/>
      </c>
    </row>
    <row r="197">
      <c r="A197" s="4" t="n">
        <v>189</v>
      </c>
      <c r="B197" s="8">
        <f>ROUND(B196-D196+C196,8)</f>
        <v/>
      </c>
      <c r="C197" s="8">
        <f>IF(B197&lt;=0.000001,0,B197*$B$2/12)</f>
        <v/>
      </c>
      <c r="D197" s="8">
        <f>IF(B197&lt;=0.000001,0,MIN($B$3,B197+C197))</f>
        <v/>
      </c>
      <c r="E197" s="8">
        <f>ROUND(E196-G196+F196,8)</f>
        <v/>
      </c>
      <c r="F197" s="8">
        <f>IF(E197&lt;=0.000001,0,E197*$B$2/12)</f>
        <v/>
      </c>
      <c r="G197" s="8">
        <f>IF(E197&lt;=0.000001,0,MIN($E$3,E197+F197))</f>
        <v/>
      </c>
      <c r="H197" s="8">
        <f>ROUND(H196-J196+I196,8)</f>
        <v/>
      </c>
      <c r="I197" s="8">
        <f>IF(H197&lt;=0.000001,0,H197*$B$2/12)</f>
        <v/>
      </c>
      <c r="J197" s="8">
        <f>IF(H197&lt;=0.000001,0,MIN($H$3,H197+I197))</f>
        <v/>
      </c>
      <c r="K197" s="8">
        <f>ROUND(K196-M196+L196,8)</f>
        <v/>
      </c>
      <c r="L197" s="8">
        <f>IF(K197&lt;=0.000001,0,K197*$B$2/12)</f>
        <v/>
      </c>
      <c r="M197" s="8">
        <f>IF(K197&lt;=0.000001,0,MIN($K$3,K197+L197))</f>
        <v/>
      </c>
    </row>
    <row r="198">
      <c r="A198" s="4" t="n">
        <v>190</v>
      </c>
      <c r="B198" s="8">
        <f>ROUND(B197-D197+C197,8)</f>
        <v/>
      </c>
      <c r="C198" s="8">
        <f>IF(B198&lt;=0.000001,0,B198*$B$2/12)</f>
        <v/>
      </c>
      <c r="D198" s="8">
        <f>IF(B198&lt;=0.000001,0,MIN($B$3,B198+C198))</f>
        <v/>
      </c>
      <c r="E198" s="8">
        <f>ROUND(E197-G197+F197,8)</f>
        <v/>
      </c>
      <c r="F198" s="8">
        <f>IF(E198&lt;=0.000001,0,E198*$B$2/12)</f>
        <v/>
      </c>
      <c r="G198" s="8">
        <f>IF(E198&lt;=0.000001,0,MIN($E$3,E198+F198))</f>
        <v/>
      </c>
      <c r="H198" s="8">
        <f>ROUND(H197-J197+I197,8)</f>
        <v/>
      </c>
      <c r="I198" s="8">
        <f>IF(H198&lt;=0.000001,0,H198*$B$2/12)</f>
        <v/>
      </c>
      <c r="J198" s="8">
        <f>IF(H198&lt;=0.000001,0,MIN($H$3,H198+I198))</f>
        <v/>
      </c>
      <c r="K198" s="8">
        <f>ROUND(K197-M197+L197,8)</f>
        <v/>
      </c>
      <c r="L198" s="8">
        <f>IF(K198&lt;=0.000001,0,K198*$B$2/12)</f>
        <v/>
      </c>
      <c r="M198" s="8">
        <f>IF(K198&lt;=0.000001,0,MIN($K$3,K198+L198))</f>
        <v/>
      </c>
    </row>
    <row r="199">
      <c r="A199" s="4" t="n">
        <v>191</v>
      </c>
      <c r="B199" s="8">
        <f>ROUND(B198-D198+C198,8)</f>
        <v/>
      </c>
      <c r="C199" s="8">
        <f>IF(B199&lt;=0.000001,0,B199*$B$2/12)</f>
        <v/>
      </c>
      <c r="D199" s="8">
        <f>IF(B199&lt;=0.000001,0,MIN($B$3,B199+C199))</f>
        <v/>
      </c>
      <c r="E199" s="8">
        <f>ROUND(E198-G198+F198,8)</f>
        <v/>
      </c>
      <c r="F199" s="8">
        <f>IF(E199&lt;=0.000001,0,E199*$B$2/12)</f>
        <v/>
      </c>
      <c r="G199" s="8">
        <f>IF(E199&lt;=0.000001,0,MIN($E$3,E199+F199))</f>
        <v/>
      </c>
      <c r="H199" s="8">
        <f>ROUND(H198-J198+I198,8)</f>
        <v/>
      </c>
      <c r="I199" s="8">
        <f>IF(H199&lt;=0.000001,0,H199*$B$2/12)</f>
        <v/>
      </c>
      <c r="J199" s="8">
        <f>IF(H199&lt;=0.000001,0,MIN($H$3,H199+I199))</f>
        <v/>
      </c>
      <c r="K199" s="8">
        <f>ROUND(K198-M198+L198,8)</f>
        <v/>
      </c>
      <c r="L199" s="8">
        <f>IF(K199&lt;=0.000001,0,K199*$B$2/12)</f>
        <v/>
      </c>
      <c r="M199" s="8">
        <f>IF(K199&lt;=0.000001,0,MIN($K$3,K199+L199))</f>
        <v/>
      </c>
    </row>
    <row r="200">
      <c r="A200" s="4" t="n">
        <v>192</v>
      </c>
      <c r="B200" s="8">
        <f>ROUND(B199-D199+C199,8)</f>
        <v/>
      </c>
      <c r="C200" s="8">
        <f>IF(B200&lt;=0.000001,0,B200*$B$2/12)</f>
        <v/>
      </c>
      <c r="D200" s="8">
        <f>IF(B200&lt;=0.000001,0,MIN($B$3,B200+C200))</f>
        <v/>
      </c>
      <c r="E200" s="8">
        <f>ROUND(E199-G199+F199,8)</f>
        <v/>
      </c>
      <c r="F200" s="8">
        <f>IF(E200&lt;=0.000001,0,E200*$B$2/12)</f>
        <v/>
      </c>
      <c r="G200" s="8">
        <f>IF(E200&lt;=0.000001,0,MIN($E$3,E200+F200))</f>
        <v/>
      </c>
      <c r="H200" s="8">
        <f>ROUND(H199-J199+I199,8)</f>
        <v/>
      </c>
      <c r="I200" s="8">
        <f>IF(H200&lt;=0.000001,0,H200*$B$2/12)</f>
        <v/>
      </c>
      <c r="J200" s="8">
        <f>IF(H200&lt;=0.000001,0,MIN($H$3,H200+I200))</f>
        <v/>
      </c>
      <c r="K200" s="8">
        <f>ROUND(K199-M199+L199,8)</f>
        <v/>
      </c>
      <c r="L200" s="8">
        <f>IF(K200&lt;=0.000001,0,K200*$B$2/12)</f>
        <v/>
      </c>
      <c r="M200" s="8">
        <f>IF(K200&lt;=0.000001,0,MIN($K$3,K200+L200))</f>
        <v/>
      </c>
    </row>
    <row r="201">
      <c r="A201" s="4" t="n">
        <v>193</v>
      </c>
      <c r="B201" s="8">
        <f>ROUND(B200-D200+C200,8)</f>
        <v/>
      </c>
      <c r="C201" s="8">
        <f>IF(B201&lt;=0.000001,0,B201*$B$2/12)</f>
        <v/>
      </c>
      <c r="D201" s="8">
        <f>IF(B201&lt;=0.000001,0,MIN($B$3,B201+C201))</f>
        <v/>
      </c>
      <c r="E201" s="8">
        <f>ROUND(E200-G200+F200,8)</f>
        <v/>
      </c>
      <c r="F201" s="8">
        <f>IF(E201&lt;=0.000001,0,E201*$B$2/12)</f>
        <v/>
      </c>
      <c r="G201" s="8">
        <f>IF(E201&lt;=0.000001,0,MIN($E$3,E201+F201))</f>
        <v/>
      </c>
      <c r="H201" s="8">
        <f>ROUND(H200-J200+I200,8)</f>
        <v/>
      </c>
      <c r="I201" s="8">
        <f>IF(H201&lt;=0.000001,0,H201*$B$2/12)</f>
        <v/>
      </c>
      <c r="J201" s="8">
        <f>IF(H201&lt;=0.000001,0,MIN($H$3,H201+I201))</f>
        <v/>
      </c>
      <c r="K201" s="8">
        <f>ROUND(K200-M200+L200,8)</f>
        <v/>
      </c>
      <c r="L201" s="8">
        <f>IF(K201&lt;=0.000001,0,K201*$B$2/12)</f>
        <v/>
      </c>
      <c r="M201" s="8">
        <f>IF(K201&lt;=0.000001,0,MIN($K$3,K201+L201))</f>
        <v/>
      </c>
    </row>
    <row r="202">
      <c r="A202" s="4" t="n">
        <v>194</v>
      </c>
      <c r="B202" s="8">
        <f>ROUND(B201-D201+C201,8)</f>
        <v/>
      </c>
      <c r="C202" s="8">
        <f>IF(B202&lt;=0.000001,0,B202*$B$2/12)</f>
        <v/>
      </c>
      <c r="D202" s="8">
        <f>IF(B202&lt;=0.000001,0,MIN($B$3,B202+C202))</f>
        <v/>
      </c>
      <c r="E202" s="8">
        <f>ROUND(E201-G201+F201,8)</f>
        <v/>
      </c>
      <c r="F202" s="8">
        <f>IF(E202&lt;=0.000001,0,E202*$B$2/12)</f>
        <v/>
      </c>
      <c r="G202" s="8">
        <f>IF(E202&lt;=0.000001,0,MIN($E$3,E202+F202))</f>
        <v/>
      </c>
      <c r="H202" s="8">
        <f>ROUND(H201-J201+I201,8)</f>
        <v/>
      </c>
      <c r="I202" s="8">
        <f>IF(H202&lt;=0.000001,0,H202*$B$2/12)</f>
        <v/>
      </c>
      <c r="J202" s="8">
        <f>IF(H202&lt;=0.000001,0,MIN($H$3,H202+I202))</f>
        <v/>
      </c>
      <c r="K202" s="8">
        <f>ROUND(K201-M201+L201,8)</f>
        <v/>
      </c>
      <c r="L202" s="8">
        <f>IF(K202&lt;=0.000001,0,K202*$B$2/12)</f>
        <v/>
      </c>
      <c r="M202" s="8">
        <f>IF(K202&lt;=0.000001,0,MIN($K$3,K202+L202))</f>
        <v/>
      </c>
    </row>
    <row r="203">
      <c r="A203" s="4" t="n">
        <v>195</v>
      </c>
      <c r="B203" s="8">
        <f>ROUND(B202-D202+C202,8)</f>
        <v/>
      </c>
      <c r="C203" s="8">
        <f>IF(B203&lt;=0.000001,0,B203*$B$2/12)</f>
        <v/>
      </c>
      <c r="D203" s="8">
        <f>IF(B203&lt;=0.000001,0,MIN($B$3,B203+C203))</f>
        <v/>
      </c>
      <c r="E203" s="8">
        <f>ROUND(E202-G202+F202,8)</f>
        <v/>
      </c>
      <c r="F203" s="8">
        <f>IF(E203&lt;=0.000001,0,E203*$B$2/12)</f>
        <v/>
      </c>
      <c r="G203" s="8">
        <f>IF(E203&lt;=0.000001,0,MIN($E$3,E203+F203))</f>
        <v/>
      </c>
      <c r="H203" s="8">
        <f>ROUND(H202-J202+I202,8)</f>
        <v/>
      </c>
      <c r="I203" s="8">
        <f>IF(H203&lt;=0.000001,0,H203*$B$2/12)</f>
        <v/>
      </c>
      <c r="J203" s="8">
        <f>IF(H203&lt;=0.000001,0,MIN($H$3,H203+I203))</f>
        <v/>
      </c>
      <c r="K203" s="8">
        <f>ROUND(K202-M202+L202,8)</f>
        <v/>
      </c>
      <c r="L203" s="8">
        <f>IF(K203&lt;=0.000001,0,K203*$B$2/12)</f>
        <v/>
      </c>
      <c r="M203" s="8">
        <f>IF(K203&lt;=0.000001,0,MIN($K$3,K203+L203))</f>
        <v/>
      </c>
    </row>
    <row r="204">
      <c r="A204" s="4" t="n">
        <v>196</v>
      </c>
      <c r="B204" s="8">
        <f>ROUND(B203-D203+C203,8)</f>
        <v/>
      </c>
      <c r="C204" s="8">
        <f>IF(B204&lt;=0.000001,0,B204*$B$2/12)</f>
        <v/>
      </c>
      <c r="D204" s="8">
        <f>IF(B204&lt;=0.000001,0,MIN($B$3,B204+C204))</f>
        <v/>
      </c>
      <c r="E204" s="8">
        <f>ROUND(E203-G203+F203,8)</f>
        <v/>
      </c>
      <c r="F204" s="8">
        <f>IF(E204&lt;=0.000001,0,E204*$B$2/12)</f>
        <v/>
      </c>
      <c r="G204" s="8">
        <f>IF(E204&lt;=0.000001,0,MIN($E$3,E204+F204))</f>
        <v/>
      </c>
      <c r="H204" s="8">
        <f>ROUND(H203-J203+I203,8)</f>
        <v/>
      </c>
      <c r="I204" s="8">
        <f>IF(H204&lt;=0.000001,0,H204*$B$2/12)</f>
        <v/>
      </c>
      <c r="J204" s="8">
        <f>IF(H204&lt;=0.000001,0,MIN($H$3,H204+I204))</f>
        <v/>
      </c>
      <c r="K204" s="8">
        <f>ROUND(K203-M203+L203,8)</f>
        <v/>
      </c>
      <c r="L204" s="8">
        <f>IF(K204&lt;=0.000001,0,K204*$B$2/12)</f>
        <v/>
      </c>
      <c r="M204" s="8">
        <f>IF(K204&lt;=0.000001,0,MIN($K$3,K204+L204))</f>
        <v/>
      </c>
    </row>
    <row r="205">
      <c r="A205" s="4" t="n">
        <v>197</v>
      </c>
      <c r="B205" s="8">
        <f>ROUND(B204-D204+C204,8)</f>
        <v/>
      </c>
      <c r="C205" s="8">
        <f>IF(B205&lt;=0.000001,0,B205*$B$2/12)</f>
        <v/>
      </c>
      <c r="D205" s="8">
        <f>IF(B205&lt;=0.000001,0,MIN($B$3,B205+C205))</f>
        <v/>
      </c>
      <c r="E205" s="8">
        <f>ROUND(E204-G204+F204,8)</f>
        <v/>
      </c>
      <c r="F205" s="8">
        <f>IF(E205&lt;=0.000001,0,E205*$B$2/12)</f>
        <v/>
      </c>
      <c r="G205" s="8">
        <f>IF(E205&lt;=0.000001,0,MIN($E$3,E205+F205))</f>
        <v/>
      </c>
      <c r="H205" s="8">
        <f>ROUND(H204-J204+I204,8)</f>
        <v/>
      </c>
      <c r="I205" s="8">
        <f>IF(H205&lt;=0.000001,0,H205*$B$2/12)</f>
        <v/>
      </c>
      <c r="J205" s="8">
        <f>IF(H205&lt;=0.000001,0,MIN($H$3,H205+I205))</f>
        <v/>
      </c>
      <c r="K205" s="8">
        <f>ROUND(K204-M204+L204,8)</f>
        <v/>
      </c>
      <c r="L205" s="8">
        <f>IF(K205&lt;=0.000001,0,K205*$B$2/12)</f>
        <v/>
      </c>
      <c r="M205" s="8">
        <f>IF(K205&lt;=0.000001,0,MIN($K$3,K205+L205))</f>
        <v/>
      </c>
    </row>
    <row r="206">
      <c r="A206" s="4" t="n">
        <v>198</v>
      </c>
      <c r="B206" s="8">
        <f>ROUND(B205-D205+C205,8)</f>
        <v/>
      </c>
      <c r="C206" s="8">
        <f>IF(B206&lt;=0.000001,0,B206*$B$2/12)</f>
        <v/>
      </c>
      <c r="D206" s="8">
        <f>IF(B206&lt;=0.000001,0,MIN($B$3,B206+C206))</f>
        <v/>
      </c>
      <c r="E206" s="8">
        <f>ROUND(E205-G205+F205,8)</f>
        <v/>
      </c>
      <c r="F206" s="8">
        <f>IF(E206&lt;=0.000001,0,E206*$B$2/12)</f>
        <v/>
      </c>
      <c r="G206" s="8">
        <f>IF(E206&lt;=0.000001,0,MIN($E$3,E206+F206))</f>
        <v/>
      </c>
      <c r="H206" s="8">
        <f>ROUND(H205-J205+I205,8)</f>
        <v/>
      </c>
      <c r="I206" s="8">
        <f>IF(H206&lt;=0.000001,0,H206*$B$2/12)</f>
        <v/>
      </c>
      <c r="J206" s="8">
        <f>IF(H206&lt;=0.000001,0,MIN($H$3,H206+I206))</f>
        <v/>
      </c>
      <c r="K206" s="8">
        <f>ROUND(K205-M205+L205,8)</f>
        <v/>
      </c>
      <c r="L206" s="8">
        <f>IF(K206&lt;=0.000001,0,K206*$B$2/12)</f>
        <v/>
      </c>
      <c r="M206" s="8">
        <f>IF(K206&lt;=0.000001,0,MIN($K$3,K206+L206))</f>
        <v/>
      </c>
    </row>
    <row r="207">
      <c r="A207" s="4" t="n">
        <v>199</v>
      </c>
      <c r="B207" s="8">
        <f>ROUND(B206-D206+C206,8)</f>
        <v/>
      </c>
      <c r="C207" s="8">
        <f>IF(B207&lt;=0.000001,0,B207*$B$2/12)</f>
        <v/>
      </c>
      <c r="D207" s="8">
        <f>IF(B207&lt;=0.000001,0,MIN($B$3,B207+C207))</f>
        <v/>
      </c>
      <c r="E207" s="8">
        <f>ROUND(E206-G206+F206,8)</f>
        <v/>
      </c>
      <c r="F207" s="8">
        <f>IF(E207&lt;=0.000001,0,E207*$B$2/12)</f>
        <v/>
      </c>
      <c r="G207" s="8">
        <f>IF(E207&lt;=0.000001,0,MIN($E$3,E207+F207))</f>
        <v/>
      </c>
      <c r="H207" s="8">
        <f>ROUND(H206-J206+I206,8)</f>
        <v/>
      </c>
      <c r="I207" s="8">
        <f>IF(H207&lt;=0.000001,0,H207*$B$2/12)</f>
        <v/>
      </c>
      <c r="J207" s="8">
        <f>IF(H207&lt;=0.000001,0,MIN($H$3,H207+I207))</f>
        <v/>
      </c>
      <c r="K207" s="8">
        <f>ROUND(K206-M206+L206,8)</f>
        <v/>
      </c>
      <c r="L207" s="8">
        <f>IF(K207&lt;=0.000001,0,K207*$B$2/12)</f>
        <v/>
      </c>
      <c r="M207" s="8">
        <f>IF(K207&lt;=0.000001,0,MIN($K$3,K207+L207))</f>
        <v/>
      </c>
    </row>
    <row r="208">
      <c r="A208" s="4" t="n">
        <v>200</v>
      </c>
      <c r="B208" s="8">
        <f>ROUND(B207-D207+C207,8)</f>
        <v/>
      </c>
      <c r="C208" s="8">
        <f>IF(B208&lt;=0.000001,0,B208*$B$2/12)</f>
        <v/>
      </c>
      <c r="D208" s="8">
        <f>IF(B208&lt;=0.000001,0,MIN($B$3,B208+C208))</f>
        <v/>
      </c>
      <c r="E208" s="8">
        <f>ROUND(E207-G207+F207,8)</f>
        <v/>
      </c>
      <c r="F208" s="8">
        <f>IF(E208&lt;=0.000001,0,E208*$B$2/12)</f>
        <v/>
      </c>
      <c r="G208" s="8">
        <f>IF(E208&lt;=0.000001,0,MIN($E$3,E208+F208))</f>
        <v/>
      </c>
      <c r="H208" s="8">
        <f>ROUND(H207-J207+I207,8)</f>
        <v/>
      </c>
      <c r="I208" s="8">
        <f>IF(H208&lt;=0.000001,0,H208*$B$2/12)</f>
        <v/>
      </c>
      <c r="J208" s="8">
        <f>IF(H208&lt;=0.000001,0,MIN($H$3,H208+I208))</f>
        <v/>
      </c>
      <c r="K208" s="8">
        <f>ROUND(K207-M207+L207,8)</f>
        <v/>
      </c>
      <c r="L208" s="8">
        <f>IF(K208&lt;=0.000001,0,K208*$B$2/12)</f>
        <v/>
      </c>
      <c r="M208" s="8">
        <f>IF(K208&lt;=0.000001,0,MIN($K$3,K208+L208))</f>
        <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0" customWidth="1" min="1" max="1"/>
    <col width="16" customWidth="1" min="2" max="2"/>
    <col width="18" customWidth="1" min="3" max="3"/>
    <col width="14" customWidth="1" min="4" max="4"/>
    <col width="14" customWidth="1" min="5" max="5"/>
    <col width="16" customWidth="1" min="6" max="6"/>
  </cols>
  <sheetData>
    <row r="1">
      <c r="A1" s="3" t="inlineStr">
        <is>
          <t>Plan (no provider names needed)</t>
        </is>
      </c>
      <c r="B1" s="3" t="inlineStr">
        <is>
          <t>Purchase</t>
        </is>
      </c>
      <c r="C1" s="3" t="inlineStr">
        <is>
          <t>Payment each period</t>
        </is>
      </c>
      <c r="D1" s="3" t="inlineStr">
        <is>
          <t>Payments left</t>
        </is>
      </c>
      <c r="E1" s="3" t="inlineStr">
        <is>
          <t>Left to pay</t>
        </is>
      </c>
      <c r="F1" s="3" t="inlineStr">
        <is>
          <t>Late fee if missed</t>
        </is>
      </c>
    </row>
    <row r="2">
      <c r="A2" s="11" t="inlineStr">
        <is>
          <t>Plan 1</t>
        </is>
      </c>
      <c r="B2" s="11" t="inlineStr">
        <is>
          <t>$200 shoes</t>
        </is>
      </c>
      <c r="C2" s="5" t="n">
        <v>50</v>
      </c>
      <c r="D2" s="7" t="n">
        <v>3</v>
      </c>
      <c r="E2" s="8">
        <f>C2*D2</f>
        <v/>
      </c>
      <c r="F2" s="5" t="n">
        <v>10</v>
      </c>
    </row>
    <row r="3">
      <c r="A3" s="11" t="inlineStr">
        <is>
          <t>Plan 2</t>
        </is>
      </c>
      <c r="B3" s="11" t="inlineStr">
        <is>
          <t>$480 phone</t>
        </is>
      </c>
      <c r="C3" s="5" t="n">
        <v>120</v>
      </c>
      <c r="D3" s="7" t="n">
        <v>4</v>
      </c>
      <c r="E3" s="8">
        <f>C3*D3</f>
        <v/>
      </c>
      <c r="F3" s="5" t="n">
        <v>10</v>
      </c>
    </row>
    <row r="4">
      <c r="A4" s="11" t="inlineStr">
        <is>
          <t>Plan 3</t>
        </is>
      </c>
      <c r="B4" s="11" t="inlineStr">
        <is>
          <t>$320 jacket</t>
        </is>
      </c>
      <c r="C4" s="5" t="n">
        <v>80</v>
      </c>
      <c r="D4" s="7" t="n">
        <v>4</v>
      </c>
      <c r="E4" s="8">
        <f>C4*D4</f>
        <v/>
      </c>
      <c r="F4" s="5" t="n">
        <v>10</v>
      </c>
    </row>
    <row r="5">
      <c r="A5" s="11" t="n"/>
      <c r="B5" s="11" t="n"/>
      <c r="C5" s="5" t="n"/>
      <c r="D5" s="11" t="n"/>
      <c r="E5" s="8">
        <f>IF(C5="","",C5*D5)</f>
        <v/>
      </c>
      <c r="F5" s="5" t="n"/>
    </row>
    <row r="6">
      <c r="A6" s="11" t="n"/>
      <c r="B6" s="11" t="n"/>
      <c r="C6" s="5" t="n"/>
      <c r="D6" s="11" t="n"/>
      <c r="E6" s="8">
        <f>IF(C6="","",C6*D6)</f>
        <v/>
      </c>
      <c r="F6" s="5" t="n"/>
    </row>
    <row r="7">
      <c r="A7" s="11" t="n"/>
      <c r="B7" s="11" t="n"/>
      <c r="C7" s="5" t="n"/>
      <c r="D7" s="11" t="n"/>
      <c r="E7" s="8">
        <f>IF(C7="","",C7*D7)</f>
        <v/>
      </c>
      <c r="F7" s="5" t="n"/>
    </row>
    <row r="8">
      <c r="A8" s="11" t="n"/>
      <c r="B8" s="11" t="n"/>
      <c r="C8" s="5" t="n"/>
      <c r="D8" s="11" t="n"/>
      <c r="E8" s="8">
        <f>IF(C8="","",C8*D8)</f>
        <v/>
      </c>
      <c r="F8" s="5" t="n"/>
    </row>
    <row r="9">
      <c r="A9" s="11" t="n"/>
      <c r="B9" s="11" t="n"/>
      <c r="C9" s="5" t="n"/>
      <c r="D9" s="11" t="n"/>
      <c r="E9" s="8">
        <f>IF(C9="","",C9*D9)</f>
        <v/>
      </c>
      <c r="F9" s="5" t="n"/>
    </row>
    <row r="10">
      <c r="A10" s="11" t="n"/>
      <c r="B10" s="11" t="n"/>
      <c r="C10" s="5" t="n"/>
      <c r="D10" s="11" t="n"/>
      <c r="E10" s="8">
        <f>IF(C10="","",C10*D10)</f>
        <v/>
      </c>
      <c r="F10" s="5" t="n"/>
    </row>
    <row r="12">
      <c r="A12" s="10" t="inlineStr">
        <is>
          <t>Total each pay period</t>
        </is>
      </c>
      <c r="C12" s="8">
        <f>SUM(C2:C11)</f>
        <v/>
      </c>
    </row>
    <row r="13">
      <c r="A13" s="4" t="inlineStr">
        <is>
          <t>Take-home pay each period</t>
        </is>
      </c>
      <c r="C13" s="5" t="n">
        <v>1000</v>
      </c>
    </row>
    <row r="14">
      <c r="A14" s="4" t="inlineStr">
        <is>
          <t>Share of pay going to BNPL</t>
        </is>
      </c>
      <c r="C14" s="12">
        <f>C12/C13</f>
        <v/>
      </c>
    </row>
    <row r="15">
      <c r="A15" s="4" t="inlineStr">
        <is>
          <t>Late fees if every plan missed once</t>
        </is>
      </c>
      <c r="C15" s="8">
        <f>SUM(F2:F11)</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trainyourself.org</dc:creator>
  <dc:title xmlns:dc="http://purl.org/dc/elements/1.1/">Loan and card cost worksheet</dc:title>
  <dcterms:created xmlns:dcterms="http://purl.org/dc/terms/" xmlns:xsi="http://www.w3.org/2001/XMLSchema-instance" xsi:type="dcterms:W3CDTF">2026-10-24T09:00:00Z</dcterms:created>
  <dcterms:modified xmlns:dcterms="http://purl.org/dc/terms/" xmlns:xsi="http://www.w3.org/2001/XMLSchema-instance" xsi:type="dcterms:W3CDTF">2026-10-25T11:17:55Z</dcterms:modified>
</cp:coreProperties>
</file>